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sisss\Downloads\"/>
    </mc:Choice>
  </mc:AlternateContent>
  <xr:revisionPtr revIDLastSave="0" documentId="8_{AA8E83A1-5AFA-41C1-A7A6-ECD91F5641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Реєстр" sheetId="1" r:id="rId1"/>
    <sheet name="КВВП" sheetId="15" r:id="rId2"/>
    <sheet name="Лист3" sheetId="14" r:id="rId3"/>
    <sheet name="Бенефіціарні власники" sheetId="13" r:id="rId4"/>
    <sheet name="Лист2" sheetId="8" r:id="rId5"/>
    <sheet name="Біо" sheetId="2" state="hidden" r:id="rId6"/>
    <sheet name="СЕС" sheetId="3" state="hidden" r:id="rId7"/>
    <sheet name="мГЕС" sheetId="4" state="hidden" r:id="rId8"/>
    <sheet name="Лист1" sheetId="12" r:id="rId9"/>
    <sheet name="Вст. Потужн" sheetId="5" r:id="rId10"/>
    <sheet name="Sheet6" sheetId="6" r:id="rId11"/>
    <sheet name="ПРОГНОЗ" sheetId="10" r:id="rId12"/>
    <sheet name="дСЕС" sheetId="1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0" l="1"/>
  <c r="X29" i="10"/>
  <c r="X30" i="10"/>
  <c r="X31" i="10"/>
  <c r="X27" i="10"/>
  <c r="X6" i="10"/>
  <c r="X7" i="10"/>
  <c r="X8" i="10"/>
  <c r="X9" i="10"/>
  <c r="X10" i="10"/>
  <c r="X5" i="10"/>
  <c r="E48" i="10" l="1"/>
  <c r="E75" i="10"/>
  <c r="F75" i="10"/>
  <c r="F81" i="10" s="1"/>
  <c r="E76" i="10"/>
  <c r="F76" i="10"/>
  <c r="E77" i="10"/>
  <c r="F77" i="10"/>
  <c r="E78" i="10"/>
  <c r="F78" i="10"/>
  <c r="E79" i="10"/>
  <c r="F79" i="10"/>
  <c r="E80" i="10"/>
  <c r="F80" i="10"/>
  <c r="G80" i="10"/>
  <c r="G79" i="10"/>
  <c r="G78" i="10"/>
  <c r="G77" i="10"/>
  <c r="G76" i="10"/>
  <c r="G81" i="10" s="1"/>
  <c r="G75" i="10"/>
  <c r="F48" i="10"/>
  <c r="F52" i="10" s="1"/>
  <c r="E62" i="10"/>
  <c r="F62" i="10"/>
  <c r="G62" i="10"/>
  <c r="E52" i="10"/>
  <c r="G52" i="10"/>
  <c r="I37" i="10"/>
  <c r="BE75" i="10"/>
  <c r="E81" i="10" l="1"/>
  <c r="I33" i="10"/>
  <c r="J33" i="10"/>
  <c r="K33" i="10"/>
  <c r="L33" i="10"/>
  <c r="M33" i="10"/>
  <c r="N33" i="10"/>
  <c r="O33" i="10"/>
  <c r="P33" i="10"/>
  <c r="Q33" i="10"/>
  <c r="H33" i="10"/>
  <c r="Z28" i="10" l="1"/>
  <c r="Z27" i="10"/>
  <c r="I127" i="10"/>
  <c r="H127" i="10"/>
  <c r="J121" i="10"/>
  <c r="J127" i="10" s="1"/>
  <c r="I119" i="10"/>
  <c r="I120" i="10" s="1"/>
  <c r="I122" i="10" s="1"/>
  <c r="J119" i="10"/>
  <c r="J120" i="10" s="1"/>
  <c r="K119" i="10"/>
  <c r="K120" i="10" s="1"/>
  <c r="L119" i="10"/>
  <c r="L120" i="10" s="1"/>
  <c r="M119" i="10"/>
  <c r="M120" i="10" s="1"/>
  <c r="N119" i="10"/>
  <c r="N120" i="10" s="1"/>
  <c r="O119" i="10"/>
  <c r="O120" i="10" s="1"/>
  <c r="P119" i="10"/>
  <c r="P120" i="10" s="1"/>
  <c r="Q119" i="10"/>
  <c r="Q120" i="10" s="1"/>
  <c r="H119" i="10"/>
  <c r="H120" i="10" s="1"/>
  <c r="H122" i="10" s="1"/>
  <c r="I115" i="10"/>
  <c r="J115" i="10"/>
  <c r="K115" i="10"/>
  <c r="L115" i="10"/>
  <c r="M115" i="10"/>
  <c r="N115" i="10"/>
  <c r="O115" i="10"/>
  <c r="P115" i="10"/>
  <c r="Q115" i="10"/>
  <c r="R115" i="10"/>
  <c r="I114" i="10"/>
  <c r="J114" i="10"/>
  <c r="K114" i="10"/>
  <c r="L114" i="10"/>
  <c r="M114" i="10"/>
  <c r="N114" i="10"/>
  <c r="O114" i="10"/>
  <c r="P114" i="10"/>
  <c r="Q114" i="10"/>
  <c r="R114" i="10"/>
  <c r="J122" i="10" l="1"/>
  <c r="K121" i="10"/>
  <c r="L121" i="10" l="1"/>
  <c r="M121" i="10" s="1"/>
  <c r="M127" i="10" s="1"/>
  <c r="K127" i="10"/>
  <c r="K122" i="10"/>
  <c r="L122" i="10" l="1"/>
  <c r="L127" i="10"/>
  <c r="M122" i="10"/>
  <c r="N121" i="10"/>
  <c r="N127" i="10" s="1"/>
  <c r="N122" i="10" l="1"/>
  <c r="O121" i="10"/>
  <c r="P121" i="10" l="1"/>
  <c r="Q121" i="10" s="1"/>
  <c r="O127" i="10"/>
  <c r="O122" i="10"/>
  <c r="Q122" i="10" l="1"/>
  <c r="Q127" i="10"/>
  <c r="P122" i="10"/>
  <c r="P127" i="10"/>
  <c r="R121" i="10"/>
  <c r="S121" i="10" s="1"/>
  <c r="S127" i="10" l="1"/>
  <c r="R127" i="10"/>
  <c r="T121" i="10"/>
  <c r="T127" i="10" s="1"/>
  <c r="U121" i="10" l="1"/>
  <c r="U127" i="10" s="1"/>
  <c r="V121" i="10" l="1"/>
  <c r="R102" i="10"/>
  <c r="R101" i="10"/>
  <c r="R119" i="10" s="1"/>
  <c r="R120" i="10" s="1"/>
  <c r="R122" i="10" s="1"/>
  <c r="I90" i="10"/>
  <c r="I92" i="10" s="1"/>
  <c r="J90" i="10"/>
  <c r="J92" i="10" s="1"/>
  <c r="K90" i="10"/>
  <c r="K92" i="10" s="1"/>
  <c r="L90" i="10"/>
  <c r="L92" i="10" s="1"/>
  <c r="M90" i="10"/>
  <c r="M92" i="10" s="1"/>
  <c r="N90" i="10"/>
  <c r="N92" i="10" s="1"/>
  <c r="O90" i="10"/>
  <c r="O92" i="10" s="1"/>
  <c r="P90" i="10"/>
  <c r="P92" i="10" s="1"/>
  <c r="Q90" i="10"/>
  <c r="Q92" i="10" s="1"/>
  <c r="R90" i="10"/>
  <c r="R92" i="10" s="1"/>
  <c r="S90" i="10"/>
  <c r="S92" i="10" s="1"/>
  <c r="T90" i="10"/>
  <c r="T92" i="10" s="1"/>
  <c r="U90" i="10"/>
  <c r="U92" i="10" s="1"/>
  <c r="V90" i="10"/>
  <c r="V92" i="10" s="1"/>
  <c r="W90" i="10"/>
  <c r="W92" i="10" s="1"/>
  <c r="H90" i="10"/>
  <c r="H92" i="10" s="1"/>
  <c r="H96" i="10" s="1"/>
  <c r="V127" i="10" l="1"/>
  <c r="H97" i="10"/>
  <c r="I96" i="10"/>
  <c r="W121" i="10"/>
  <c r="S102" i="10"/>
  <c r="S101" i="10"/>
  <c r="T101" i="10" l="1"/>
  <c r="S119" i="10"/>
  <c r="S120" i="10" s="1"/>
  <c r="S122" i="10" s="1"/>
  <c r="W127" i="10"/>
  <c r="I97" i="10"/>
  <c r="J96" i="10"/>
  <c r="T102" i="10"/>
  <c r="U102" i="10" s="1"/>
  <c r="V102" i="10" s="1"/>
  <c r="U101" i="10" l="1"/>
  <c r="T119" i="10"/>
  <c r="T120" i="10" s="1"/>
  <c r="T122" i="10" s="1"/>
  <c r="K96" i="10"/>
  <c r="J97" i="10"/>
  <c r="W102" i="10"/>
  <c r="U119" i="10" l="1"/>
  <c r="U120" i="10" s="1"/>
  <c r="U122" i="10" s="1"/>
  <c r="V101" i="10"/>
  <c r="L96" i="10"/>
  <c r="K97" i="10"/>
  <c r="W101" i="10" l="1"/>
  <c r="W119" i="10" s="1"/>
  <c r="W120" i="10" s="1"/>
  <c r="V119" i="10"/>
  <c r="V120" i="10" s="1"/>
  <c r="V122" i="10" s="1"/>
  <c r="M96" i="10"/>
  <c r="L97" i="10"/>
  <c r="W130" i="10" l="1"/>
  <c r="W131" i="10" s="1"/>
  <c r="W122" i="10"/>
  <c r="M97" i="10"/>
  <c r="N96" i="10"/>
  <c r="O96" i="10" l="1"/>
  <c r="N97" i="10"/>
  <c r="P96" i="10" l="1"/>
  <c r="O97" i="10"/>
  <c r="Q96" i="10" l="1"/>
  <c r="P97" i="10"/>
  <c r="R96" i="10" l="1"/>
  <c r="Q97" i="10"/>
  <c r="R97" i="10" l="1"/>
  <c r="S96" i="10"/>
  <c r="T96" i="10" l="1"/>
  <c r="S97" i="10"/>
  <c r="U96" i="10" l="1"/>
  <c r="T97" i="10"/>
  <c r="H7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H11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H32" i="10"/>
  <c r="H42" i="10"/>
  <c r="J39" i="10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J40" i="10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J41" i="10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U41" i="10" s="1"/>
  <c r="V41" i="10" s="1"/>
  <c r="W41" i="10" s="1"/>
  <c r="J38" i="10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J37" i="10" l="1"/>
  <c r="K37" i="10" s="1"/>
  <c r="V96" i="10"/>
  <c r="U97" i="10"/>
  <c r="I42" i="10"/>
  <c r="J42" i="10" l="1"/>
  <c r="W96" i="10"/>
  <c r="W97" i="10" s="1"/>
  <c r="V97" i="10"/>
  <c r="K42" i="10"/>
  <c r="L37" i="10"/>
  <c r="M37" i="10" l="1"/>
  <c r="L42" i="10"/>
  <c r="N37" i="10" l="1"/>
  <c r="M42" i="10"/>
  <c r="N42" i="10" l="1"/>
  <c r="O37" i="10"/>
  <c r="O42" i="10" l="1"/>
  <c r="P37" i="10"/>
  <c r="Q37" i="10" l="1"/>
  <c r="P42" i="10"/>
  <c r="R37" i="10" l="1"/>
  <c r="Q42" i="10"/>
  <c r="R42" i="10" l="1"/>
  <c r="S37" i="10"/>
  <c r="S42" i="10" l="1"/>
  <c r="T37" i="10"/>
  <c r="U37" i="10" l="1"/>
  <c r="T42" i="10"/>
  <c r="U42" i="10" l="1"/>
  <c r="V37" i="10"/>
  <c r="W37" i="10" s="1"/>
  <c r="V42" i="10" l="1"/>
  <c r="W42" i="10"/>
  <c r="H16" i="10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237" i="1"/>
  <c r="BO1238" i="1"/>
  <c r="BO1239" i="1"/>
  <c r="BO1240" i="1"/>
  <c r="BO1241" i="1"/>
  <c r="BO1242" i="1"/>
  <c r="BO1243" i="1"/>
  <c r="BO1244" i="1"/>
  <c r="BO1245" i="1"/>
  <c r="BO1246" i="1"/>
  <c r="BO1247" i="1"/>
  <c r="BO1248" i="1"/>
  <c r="BO1249" i="1"/>
  <c r="BO1250" i="1"/>
  <c r="BO1251" i="1"/>
  <c r="BO1252" i="1"/>
  <c r="BO1253" i="1"/>
  <c r="BO1254" i="1"/>
  <c r="BO1255" i="1"/>
  <c r="BO1256" i="1"/>
  <c r="BO1257" i="1"/>
  <c r="BO1258" i="1"/>
  <c r="BO1259" i="1"/>
  <c r="BO1260" i="1"/>
  <c r="BO1261" i="1"/>
  <c r="BO1262" i="1"/>
  <c r="BO1263" i="1"/>
  <c r="BO1264" i="1"/>
  <c r="BO1265" i="1"/>
  <c r="BO1266" i="1"/>
  <c r="BO1267" i="1"/>
  <c r="BO1268" i="1"/>
  <c r="BO1269" i="1"/>
  <c r="BO1270" i="1"/>
  <c r="BO1271" i="1"/>
  <c r="BO1272" i="1"/>
  <c r="BO1273" i="1"/>
  <c r="BO1274" i="1"/>
  <c r="BO1275" i="1"/>
  <c r="BO1276" i="1"/>
  <c r="BO1277" i="1"/>
  <c r="BO1278" i="1"/>
  <c r="BO1279" i="1"/>
  <c r="BO1280" i="1"/>
  <c r="BO1281" i="1"/>
  <c r="BO1282" i="1"/>
  <c r="BO1283" i="1"/>
  <c r="BO1284" i="1"/>
  <c r="BO1285" i="1"/>
  <c r="BO1286" i="1"/>
  <c r="BO1287" i="1"/>
  <c r="BO1288" i="1"/>
  <c r="BO1289" i="1"/>
  <c r="BO1290" i="1"/>
  <c r="BO1291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319" i="1"/>
  <c r="BO1320" i="1"/>
  <c r="BO1321" i="1"/>
  <c r="BO1322" i="1"/>
  <c r="BO1323" i="1"/>
  <c r="BO1324" i="1"/>
  <c r="BO1325" i="1"/>
  <c r="BO1326" i="1"/>
  <c r="BO1327" i="1"/>
  <c r="BO1328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59" i="1"/>
  <c r="BO1360" i="1"/>
  <c r="BO1361" i="1"/>
  <c r="BO1362" i="1"/>
  <c r="BO1363" i="1"/>
  <c r="BO1364" i="1"/>
  <c r="BO1365" i="1"/>
  <c r="BO1366" i="1"/>
  <c r="BO1367" i="1"/>
  <c r="BO1368" i="1"/>
  <c r="BO1369" i="1"/>
  <c r="BO1370" i="1"/>
  <c r="BO1371" i="1"/>
  <c r="BO1372" i="1"/>
  <c r="BO137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1004" i="1"/>
  <c r="BN1005" i="1"/>
  <c r="BN1006" i="1"/>
  <c r="BN1007" i="1"/>
  <c r="BN1008" i="1"/>
  <c r="BN1009" i="1"/>
  <c r="BN1010" i="1"/>
  <c r="BN1011" i="1"/>
  <c r="BN1012" i="1"/>
  <c r="BN1013" i="1"/>
  <c r="BN1014" i="1"/>
  <c r="BN1015" i="1"/>
  <c r="BN1016" i="1"/>
  <c r="BN1017" i="1"/>
  <c r="BN1018" i="1"/>
  <c r="BN1019" i="1"/>
  <c r="BN1020" i="1"/>
  <c r="BN1021" i="1"/>
  <c r="BN1022" i="1"/>
  <c r="BN1023" i="1"/>
  <c r="BN1024" i="1"/>
  <c r="BN1025" i="1"/>
  <c r="BN1026" i="1"/>
  <c r="BN1027" i="1"/>
  <c r="BN1028" i="1"/>
  <c r="BN1029" i="1"/>
  <c r="BN1030" i="1"/>
  <c r="BN1031" i="1"/>
  <c r="BN1032" i="1"/>
  <c r="BN1033" i="1"/>
  <c r="BN1034" i="1"/>
  <c r="BN1035" i="1"/>
  <c r="BN1036" i="1"/>
  <c r="BN1037" i="1"/>
  <c r="BN1038" i="1"/>
  <c r="BN1039" i="1"/>
  <c r="BN1040" i="1"/>
  <c r="BN1041" i="1"/>
  <c r="BN1042" i="1"/>
  <c r="BN1043" i="1"/>
  <c r="BN1044" i="1"/>
  <c r="BN1045" i="1"/>
  <c r="BN1046" i="1"/>
  <c r="BN1047" i="1"/>
  <c r="BN1048" i="1"/>
  <c r="BN1049" i="1"/>
  <c r="BN1050" i="1"/>
  <c r="BN1051" i="1"/>
  <c r="BN1052" i="1"/>
  <c r="BN1053" i="1"/>
  <c r="BN1054" i="1"/>
  <c r="BN1055" i="1"/>
  <c r="BN1056" i="1"/>
  <c r="BN1057" i="1"/>
  <c r="BN1058" i="1"/>
  <c r="BN1059" i="1"/>
  <c r="BN1060" i="1"/>
  <c r="BN1061" i="1"/>
  <c r="BN1062" i="1"/>
  <c r="BN1063" i="1"/>
  <c r="BN1064" i="1"/>
  <c r="BN1065" i="1"/>
  <c r="BN1066" i="1"/>
  <c r="BN1067" i="1"/>
  <c r="BN1068" i="1"/>
  <c r="BN1069" i="1"/>
  <c r="BN1070" i="1"/>
  <c r="BN1071" i="1"/>
  <c r="BN1072" i="1"/>
  <c r="BN1073" i="1"/>
  <c r="BN1074" i="1"/>
  <c r="BN1075" i="1"/>
  <c r="BN1076" i="1"/>
  <c r="BN1077" i="1"/>
  <c r="BN1078" i="1"/>
  <c r="BN1079" i="1"/>
  <c r="BN1080" i="1"/>
  <c r="BN1081" i="1"/>
  <c r="BN1082" i="1"/>
  <c r="BN1083" i="1"/>
  <c r="BN1084" i="1"/>
  <c r="BN1085" i="1"/>
  <c r="BN1086" i="1"/>
  <c r="BN1087" i="1"/>
  <c r="BN1088" i="1"/>
  <c r="BN1089" i="1"/>
  <c r="BN1090" i="1"/>
  <c r="BN1091" i="1"/>
  <c r="BN1092" i="1"/>
  <c r="BN1093" i="1"/>
  <c r="BN1094" i="1"/>
  <c r="BN1095" i="1"/>
  <c r="BN1096" i="1"/>
  <c r="BN1097" i="1"/>
  <c r="BN1098" i="1"/>
  <c r="BN1099" i="1"/>
  <c r="BN1100" i="1"/>
  <c r="BN1101" i="1"/>
  <c r="BN1102" i="1"/>
  <c r="BN1103" i="1"/>
  <c r="BN1104" i="1"/>
  <c r="BN1105" i="1"/>
  <c r="BN1106" i="1"/>
  <c r="BN1107" i="1"/>
  <c r="BN1108" i="1"/>
  <c r="BN1109" i="1"/>
  <c r="BN1110" i="1"/>
  <c r="BN1111" i="1"/>
  <c r="BN1112" i="1"/>
  <c r="BN1113" i="1"/>
  <c r="BN1114" i="1"/>
  <c r="BN1115" i="1"/>
  <c r="BN1116" i="1"/>
  <c r="BN1117" i="1"/>
  <c r="BN1118" i="1"/>
  <c r="BN1119" i="1"/>
  <c r="BN1120" i="1"/>
  <c r="BN1121" i="1"/>
  <c r="BN1122" i="1"/>
  <c r="BN1123" i="1"/>
  <c r="BN1124" i="1"/>
  <c r="BN1125" i="1"/>
  <c r="BN1126" i="1"/>
  <c r="BN1127" i="1"/>
  <c r="BN1128" i="1"/>
  <c r="BN1129" i="1"/>
  <c r="BN1130" i="1"/>
  <c r="BN1131" i="1"/>
  <c r="BN1132" i="1"/>
  <c r="BN1133" i="1"/>
  <c r="BN1134" i="1"/>
  <c r="BN1135" i="1"/>
  <c r="BN1136" i="1"/>
  <c r="BN1137" i="1"/>
  <c r="BN1138" i="1"/>
  <c r="BN1139" i="1"/>
  <c r="BN1140" i="1"/>
  <c r="BN1141" i="1"/>
  <c r="BN1142" i="1"/>
  <c r="BN1143" i="1"/>
  <c r="BN1144" i="1"/>
  <c r="BN1145" i="1"/>
  <c r="BN1146" i="1"/>
  <c r="BN1147" i="1"/>
  <c r="BN1148" i="1"/>
  <c r="BN1149" i="1"/>
  <c r="BN1150" i="1"/>
  <c r="BN1151" i="1"/>
  <c r="BN1152" i="1"/>
  <c r="BN1153" i="1"/>
  <c r="BN1154" i="1"/>
  <c r="BN1155" i="1"/>
  <c r="BN1156" i="1"/>
  <c r="BN1157" i="1"/>
  <c r="BN1158" i="1"/>
  <c r="BN1159" i="1"/>
  <c r="BN1160" i="1"/>
  <c r="BN1161" i="1"/>
  <c r="BN1162" i="1"/>
  <c r="BN1163" i="1"/>
  <c r="BN1164" i="1"/>
  <c r="BN1165" i="1"/>
  <c r="BN1166" i="1"/>
  <c r="BN1167" i="1"/>
  <c r="BN1168" i="1"/>
  <c r="BN1169" i="1"/>
  <c r="BN1170" i="1"/>
  <c r="BN1171" i="1"/>
  <c r="BN1172" i="1"/>
  <c r="BN1173" i="1"/>
  <c r="BN1174" i="1"/>
  <c r="BN1175" i="1"/>
  <c r="BN1176" i="1"/>
  <c r="BN1177" i="1"/>
  <c r="BN1178" i="1"/>
  <c r="BN1179" i="1"/>
  <c r="BN1180" i="1"/>
  <c r="BN1181" i="1"/>
  <c r="BN1182" i="1"/>
  <c r="BN1183" i="1"/>
  <c r="BN1184" i="1"/>
  <c r="BN1185" i="1"/>
  <c r="BN1186" i="1"/>
  <c r="BN1187" i="1"/>
  <c r="BN1188" i="1"/>
  <c r="BN1189" i="1"/>
  <c r="BN1190" i="1"/>
  <c r="BN1191" i="1"/>
  <c r="BN1192" i="1"/>
  <c r="BN1193" i="1"/>
  <c r="BN1194" i="1"/>
  <c r="BN1195" i="1"/>
  <c r="BN1196" i="1"/>
  <c r="BN1197" i="1"/>
  <c r="BN1198" i="1"/>
  <c r="BN1199" i="1"/>
  <c r="BN1200" i="1"/>
  <c r="BN1201" i="1"/>
  <c r="BN1202" i="1"/>
  <c r="BN1203" i="1"/>
  <c r="BN1204" i="1"/>
  <c r="BN1205" i="1"/>
  <c r="BN1206" i="1"/>
  <c r="BN1207" i="1"/>
  <c r="BN1208" i="1"/>
  <c r="BN1209" i="1"/>
  <c r="BN1210" i="1"/>
  <c r="BN1211" i="1"/>
  <c r="BN1212" i="1"/>
  <c r="BN1213" i="1"/>
  <c r="BN1214" i="1"/>
  <c r="BN1215" i="1"/>
  <c r="BN1216" i="1"/>
  <c r="BN1217" i="1"/>
  <c r="BN1218" i="1"/>
  <c r="BN1219" i="1"/>
  <c r="BN1220" i="1"/>
  <c r="BN1221" i="1"/>
  <c r="BN1222" i="1"/>
  <c r="BN1223" i="1"/>
  <c r="BN1224" i="1"/>
  <c r="BN1225" i="1"/>
  <c r="BN1226" i="1"/>
  <c r="BN1227" i="1"/>
  <c r="BN1228" i="1"/>
  <c r="BN1229" i="1"/>
  <c r="BN1230" i="1"/>
  <c r="BN1231" i="1"/>
  <c r="BN1232" i="1"/>
  <c r="BN1233" i="1"/>
  <c r="BN1234" i="1"/>
  <c r="BN1235" i="1"/>
  <c r="BN1236" i="1"/>
  <c r="BN1237" i="1"/>
  <c r="BN1238" i="1"/>
  <c r="BN1239" i="1"/>
  <c r="BN1240" i="1"/>
  <c r="BN1241" i="1"/>
  <c r="BN1242" i="1"/>
  <c r="BN1243" i="1"/>
  <c r="BN1244" i="1"/>
  <c r="BN1245" i="1"/>
  <c r="BN1246" i="1"/>
  <c r="BN1247" i="1"/>
  <c r="BN1248" i="1"/>
  <c r="BN1249" i="1"/>
  <c r="BN1250" i="1"/>
  <c r="BN1251" i="1"/>
  <c r="BN1252" i="1"/>
  <c r="BN1253" i="1"/>
  <c r="BN1254" i="1"/>
  <c r="BN1255" i="1"/>
  <c r="BN1256" i="1"/>
  <c r="BN1257" i="1"/>
  <c r="BN1258" i="1"/>
  <c r="BN1259" i="1"/>
  <c r="BN1260" i="1"/>
  <c r="BN1261" i="1"/>
  <c r="BN1262" i="1"/>
  <c r="BN1263" i="1"/>
  <c r="BN1264" i="1"/>
  <c r="BN1265" i="1"/>
  <c r="BN1266" i="1"/>
  <c r="BN1267" i="1"/>
  <c r="BN1268" i="1"/>
  <c r="BN1269" i="1"/>
  <c r="BN1270" i="1"/>
  <c r="BN1271" i="1"/>
  <c r="BN1272" i="1"/>
  <c r="BN1273" i="1"/>
  <c r="BN1274" i="1"/>
  <c r="BN1275" i="1"/>
  <c r="BN1276" i="1"/>
  <c r="BN1277" i="1"/>
  <c r="BN1278" i="1"/>
  <c r="BN1279" i="1"/>
  <c r="BN1280" i="1"/>
  <c r="BN1281" i="1"/>
  <c r="BN1282" i="1"/>
  <c r="BN1283" i="1"/>
  <c r="BN1284" i="1"/>
  <c r="BN1285" i="1"/>
  <c r="BN1286" i="1"/>
  <c r="BN1287" i="1"/>
  <c r="BN1288" i="1"/>
  <c r="BN1289" i="1"/>
  <c r="BN1290" i="1"/>
  <c r="BN1291" i="1"/>
  <c r="BN1292" i="1"/>
  <c r="BN1293" i="1"/>
  <c r="BN1294" i="1"/>
  <c r="BN1295" i="1"/>
  <c r="BN1296" i="1"/>
  <c r="BN1297" i="1"/>
  <c r="BN1298" i="1"/>
  <c r="BN1299" i="1"/>
  <c r="BN1300" i="1"/>
  <c r="BN1301" i="1"/>
  <c r="BN1302" i="1"/>
  <c r="BN1303" i="1"/>
  <c r="BN1304" i="1"/>
  <c r="BN1305" i="1"/>
  <c r="BN1306" i="1"/>
  <c r="BN1307" i="1"/>
  <c r="BN1308" i="1"/>
  <c r="BN1309" i="1"/>
  <c r="BN1310" i="1"/>
  <c r="BN1311" i="1"/>
  <c r="BN1312" i="1"/>
  <c r="BN1313" i="1"/>
  <c r="BN1314" i="1"/>
  <c r="BN1315" i="1"/>
  <c r="BN1316" i="1"/>
  <c r="BN1317" i="1"/>
  <c r="BN1318" i="1"/>
  <c r="BN1319" i="1"/>
  <c r="BN1320" i="1"/>
  <c r="BN1321" i="1"/>
  <c r="BN1322" i="1"/>
  <c r="BN1323" i="1"/>
  <c r="BN1324" i="1"/>
  <c r="BN1325" i="1"/>
  <c r="BN1326" i="1"/>
  <c r="BN1327" i="1"/>
  <c r="BN1328" i="1"/>
  <c r="BN1329" i="1"/>
  <c r="BN1330" i="1"/>
  <c r="BN1331" i="1"/>
  <c r="BN1332" i="1"/>
  <c r="BN1333" i="1"/>
  <c r="BN1334" i="1"/>
  <c r="BN1335" i="1"/>
  <c r="BN1336" i="1"/>
  <c r="BN1337" i="1"/>
  <c r="BN1338" i="1"/>
  <c r="BN1339" i="1"/>
  <c r="BN1340" i="1"/>
  <c r="BN1341" i="1"/>
  <c r="BN1342" i="1"/>
  <c r="BN1343" i="1"/>
  <c r="BN1344" i="1"/>
  <c r="BN1345" i="1"/>
  <c r="BN1346" i="1"/>
  <c r="BN1347" i="1"/>
  <c r="BN1348" i="1"/>
  <c r="BN1349" i="1"/>
  <c r="BN1350" i="1"/>
  <c r="BN1351" i="1"/>
  <c r="BN1352" i="1"/>
  <c r="BN1353" i="1"/>
  <c r="BN1354" i="1"/>
  <c r="BN1355" i="1"/>
  <c r="BN1356" i="1"/>
  <c r="BN1357" i="1"/>
  <c r="BN1358" i="1"/>
  <c r="BN1359" i="1"/>
  <c r="BN1360" i="1"/>
  <c r="BN1361" i="1"/>
  <c r="BN1362" i="1"/>
  <c r="BN1363" i="1"/>
  <c r="BN1364" i="1"/>
  <c r="BN1365" i="1"/>
  <c r="BN1366" i="1"/>
  <c r="BN1367" i="1"/>
  <c r="BN1368" i="1"/>
  <c r="BN1369" i="1"/>
  <c r="BN1370" i="1"/>
  <c r="BN1371" i="1"/>
  <c r="BN1372" i="1"/>
  <c r="BN137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M1002" i="1"/>
  <c r="BM1003" i="1"/>
  <c r="BM1004" i="1"/>
  <c r="BM1005" i="1"/>
  <c r="BM1006" i="1"/>
  <c r="BM1007" i="1"/>
  <c r="BM1008" i="1"/>
  <c r="BM1009" i="1"/>
  <c r="BM1010" i="1"/>
  <c r="BM1011" i="1"/>
  <c r="BM1012" i="1"/>
  <c r="BM1013" i="1"/>
  <c r="BM1014" i="1"/>
  <c r="BM1015" i="1"/>
  <c r="BM1016" i="1"/>
  <c r="BM1017" i="1"/>
  <c r="BM1018" i="1"/>
  <c r="BM1019" i="1"/>
  <c r="BM1020" i="1"/>
  <c r="BM1021" i="1"/>
  <c r="BM1022" i="1"/>
  <c r="BM1023" i="1"/>
  <c r="BM1024" i="1"/>
  <c r="BM1025" i="1"/>
  <c r="BM1026" i="1"/>
  <c r="BM1027" i="1"/>
  <c r="BM1028" i="1"/>
  <c r="BM1029" i="1"/>
  <c r="BM1030" i="1"/>
  <c r="BM1031" i="1"/>
  <c r="BM1032" i="1"/>
  <c r="BM1033" i="1"/>
  <c r="BM1034" i="1"/>
  <c r="BM1035" i="1"/>
  <c r="BM1036" i="1"/>
  <c r="BM1037" i="1"/>
  <c r="BM1038" i="1"/>
  <c r="BM1039" i="1"/>
  <c r="BM1040" i="1"/>
  <c r="BM1041" i="1"/>
  <c r="BM1042" i="1"/>
  <c r="BM1043" i="1"/>
  <c r="BM1044" i="1"/>
  <c r="BM1045" i="1"/>
  <c r="BM1046" i="1"/>
  <c r="BM1047" i="1"/>
  <c r="BM1048" i="1"/>
  <c r="BM1049" i="1"/>
  <c r="BM1050" i="1"/>
  <c r="BM1051" i="1"/>
  <c r="BM1052" i="1"/>
  <c r="BM1053" i="1"/>
  <c r="BM1054" i="1"/>
  <c r="BM1055" i="1"/>
  <c r="BM1056" i="1"/>
  <c r="BM1057" i="1"/>
  <c r="BM1058" i="1"/>
  <c r="BM1059" i="1"/>
  <c r="BM1060" i="1"/>
  <c r="BM1061" i="1"/>
  <c r="BM1062" i="1"/>
  <c r="BM1063" i="1"/>
  <c r="BM1064" i="1"/>
  <c r="BM1065" i="1"/>
  <c r="BM1066" i="1"/>
  <c r="BM1067" i="1"/>
  <c r="BM1068" i="1"/>
  <c r="BM1069" i="1"/>
  <c r="BM1070" i="1"/>
  <c r="BM1071" i="1"/>
  <c r="BM1072" i="1"/>
  <c r="BM1073" i="1"/>
  <c r="BM1074" i="1"/>
  <c r="BM1075" i="1"/>
  <c r="BM1076" i="1"/>
  <c r="BM1077" i="1"/>
  <c r="BM1078" i="1"/>
  <c r="BM1079" i="1"/>
  <c r="BM1080" i="1"/>
  <c r="BM1081" i="1"/>
  <c r="BM1082" i="1"/>
  <c r="BM1083" i="1"/>
  <c r="BM1084" i="1"/>
  <c r="BM1085" i="1"/>
  <c r="BM1086" i="1"/>
  <c r="BM1087" i="1"/>
  <c r="BM1088" i="1"/>
  <c r="BM1089" i="1"/>
  <c r="BM1090" i="1"/>
  <c r="BM1091" i="1"/>
  <c r="BM1092" i="1"/>
  <c r="BM1093" i="1"/>
  <c r="BM1094" i="1"/>
  <c r="BM1095" i="1"/>
  <c r="BM1096" i="1"/>
  <c r="BM1097" i="1"/>
  <c r="BM1098" i="1"/>
  <c r="BM1099" i="1"/>
  <c r="BM1100" i="1"/>
  <c r="BM1101" i="1"/>
  <c r="BM1102" i="1"/>
  <c r="BM1103" i="1"/>
  <c r="BM1104" i="1"/>
  <c r="BM1105" i="1"/>
  <c r="BM1106" i="1"/>
  <c r="BM1107" i="1"/>
  <c r="BM1108" i="1"/>
  <c r="BM1109" i="1"/>
  <c r="BM1110" i="1"/>
  <c r="BM1111" i="1"/>
  <c r="BM1112" i="1"/>
  <c r="BM1113" i="1"/>
  <c r="BM1114" i="1"/>
  <c r="BM1115" i="1"/>
  <c r="BM1116" i="1"/>
  <c r="BM1117" i="1"/>
  <c r="BM1118" i="1"/>
  <c r="BM1119" i="1"/>
  <c r="BM1120" i="1"/>
  <c r="BM1121" i="1"/>
  <c r="BM1122" i="1"/>
  <c r="BM1123" i="1"/>
  <c r="BM1124" i="1"/>
  <c r="BM1125" i="1"/>
  <c r="BM1126" i="1"/>
  <c r="BM1127" i="1"/>
  <c r="BM1128" i="1"/>
  <c r="BM1129" i="1"/>
  <c r="BM1130" i="1"/>
  <c r="BM1131" i="1"/>
  <c r="BM1132" i="1"/>
  <c r="BM1133" i="1"/>
  <c r="BM1134" i="1"/>
  <c r="BM1135" i="1"/>
  <c r="BM1136" i="1"/>
  <c r="BM1137" i="1"/>
  <c r="BM1138" i="1"/>
  <c r="BM1139" i="1"/>
  <c r="BM1140" i="1"/>
  <c r="BM1141" i="1"/>
  <c r="BM1142" i="1"/>
  <c r="BM1143" i="1"/>
  <c r="BM1144" i="1"/>
  <c r="BM1145" i="1"/>
  <c r="BM1146" i="1"/>
  <c r="BM1147" i="1"/>
  <c r="BM1148" i="1"/>
  <c r="BM1149" i="1"/>
  <c r="BM1150" i="1"/>
  <c r="BM1151" i="1"/>
  <c r="BM1152" i="1"/>
  <c r="BM1153" i="1"/>
  <c r="BM1154" i="1"/>
  <c r="BM1155" i="1"/>
  <c r="BM1156" i="1"/>
  <c r="BM1157" i="1"/>
  <c r="BM1158" i="1"/>
  <c r="BM1159" i="1"/>
  <c r="BM1160" i="1"/>
  <c r="BM1161" i="1"/>
  <c r="BM1162" i="1"/>
  <c r="BM1163" i="1"/>
  <c r="BM1164" i="1"/>
  <c r="BM1165" i="1"/>
  <c r="BM1166" i="1"/>
  <c r="BM1167" i="1"/>
  <c r="BM1168" i="1"/>
  <c r="BM1169" i="1"/>
  <c r="BM1170" i="1"/>
  <c r="BM1171" i="1"/>
  <c r="BM1172" i="1"/>
  <c r="BM1173" i="1"/>
  <c r="BM1174" i="1"/>
  <c r="BM1175" i="1"/>
  <c r="BM1176" i="1"/>
  <c r="BM1177" i="1"/>
  <c r="BM1178" i="1"/>
  <c r="BM1179" i="1"/>
  <c r="BM1180" i="1"/>
  <c r="BM1181" i="1"/>
  <c r="BM1182" i="1"/>
  <c r="BM1183" i="1"/>
  <c r="BM1184" i="1"/>
  <c r="BM1185" i="1"/>
  <c r="BM1186" i="1"/>
  <c r="BM1187" i="1"/>
  <c r="BM1188" i="1"/>
  <c r="BM1189" i="1"/>
  <c r="BM1190" i="1"/>
  <c r="BM1191" i="1"/>
  <c r="BM1192" i="1"/>
  <c r="BM1193" i="1"/>
  <c r="BM1194" i="1"/>
  <c r="BM1195" i="1"/>
  <c r="BM1196" i="1"/>
  <c r="BM1197" i="1"/>
  <c r="BM1198" i="1"/>
  <c r="BM1199" i="1"/>
  <c r="BM1200" i="1"/>
  <c r="BM1201" i="1"/>
  <c r="BM1202" i="1"/>
  <c r="BM1203" i="1"/>
  <c r="BM1204" i="1"/>
  <c r="BM1205" i="1"/>
  <c r="BM1206" i="1"/>
  <c r="BM1207" i="1"/>
  <c r="BM1208" i="1"/>
  <c r="BM1209" i="1"/>
  <c r="BM1210" i="1"/>
  <c r="BM1211" i="1"/>
  <c r="BM1212" i="1"/>
  <c r="BM1213" i="1"/>
  <c r="BM1214" i="1"/>
  <c r="BM1215" i="1"/>
  <c r="BM1216" i="1"/>
  <c r="BM1217" i="1"/>
  <c r="BM1218" i="1"/>
  <c r="BM1219" i="1"/>
  <c r="BM1220" i="1"/>
  <c r="BM1221" i="1"/>
  <c r="BM1222" i="1"/>
  <c r="BM1223" i="1"/>
  <c r="BM1224" i="1"/>
  <c r="BM1225" i="1"/>
  <c r="BM1226" i="1"/>
  <c r="BM1227" i="1"/>
  <c r="BM1228" i="1"/>
  <c r="BM1229" i="1"/>
  <c r="BM1230" i="1"/>
  <c r="BM1231" i="1"/>
  <c r="BM1232" i="1"/>
  <c r="BM1233" i="1"/>
  <c r="BM1234" i="1"/>
  <c r="BM1235" i="1"/>
  <c r="BM1236" i="1"/>
  <c r="BM1237" i="1"/>
  <c r="BM1238" i="1"/>
  <c r="BM1239" i="1"/>
  <c r="BM1240" i="1"/>
  <c r="BM1241" i="1"/>
  <c r="BM1242" i="1"/>
  <c r="BM1243" i="1"/>
  <c r="BM1244" i="1"/>
  <c r="BM1245" i="1"/>
  <c r="BM1246" i="1"/>
  <c r="BM1247" i="1"/>
  <c r="BM1248" i="1"/>
  <c r="BM1249" i="1"/>
  <c r="BM1250" i="1"/>
  <c r="BM1251" i="1"/>
  <c r="BM1252" i="1"/>
  <c r="BM1253" i="1"/>
  <c r="BM1254" i="1"/>
  <c r="BM1255" i="1"/>
  <c r="BM1256" i="1"/>
  <c r="BM1257" i="1"/>
  <c r="BM1258" i="1"/>
  <c r="BM1259" i="1"/>
  <c r="BM1260" i="1"/>
  <c r="BM1261" i="1"/>
  <c r="BM1262" i="1"/>
  <c r="BM1263" i="1"/>
  <c r="BM1264" i="1"/>
  <c r="BM1265" i="1"/>
  <c r="BM1266" i="1"/>
  <c r="BM1267" i="1"/>
  <c r="BM1268" i="1"/>
  <c r="BM1269" i="1"/>
  <c r="BM1270" i="1"/>
  <c r="BM1271" i="1"/>
  <c r="BM1272" i="1"/>
  <c r="BM1273" i="1"/>
  <c r="BM1274" i="1"/>
  <c r="BM1275" i="1"/>
  <c r="BM1276" i="1"/>
  <c r="BM1277" i="1"/>
  <c r="BM1278" i="1"/>
  <c r="BM1279" i="1"/>
  <c r="BM1280" i="1"/>
  <c r="BM1281" i="1"/>
  <c r="BM1282" i="1"/>
  <c r="BM1283" i="1"/>
  <c r="BM1284" i="1"/>
  <c r="BM1285" i="1"/>
  <c r="BM1286" i="1"/>
  <c r="BM1287" i="1"/>
  <c r="BM1288" i="1"/>
  <c r="BM1289" i="1"/>
  <c r="BM1290" i="1"/>
  <c r="BM1291" i="1"/>
  <c r="BM1292" i="1"/>
  <c r="BM1293" i="1"/>
  <c r="BM1294" i="1"/>
  <c r="BM1295" i="1"/>
  <c r="BM1296" i="1"/>
  <c r="BM1297" i="1"/>
  <c r="BM1298" i="1"/>
  <c r="BM1299" i="1"/>
  <c r="BM1300" i="1"/>
  <c r="BM1301" i="1"/>
  <c r="BM1302" i="1"/>
  <c r="BM1303" i="1"/>
  <c r="BM1304" i="1"/>
  <c r="BM1305" i="1"/>
  <c r="BM1306" i="1"/>
  <c r="BM1307" i="1"/>
  <c r="BM1308" i="1"/>
  <c r="BM1309" i="1"/>
  <c r="BM1310" i="1"/>
  <c r="BM1311" i="1"/>
  <c r="BM1312" i="1"/>
  <c r="BM1313" i="1"/>
  <c r="BM1314" i="1"/>
  <c r="BM1315" i="1"/>
  <c r="BM1316" i="1"/>
  <c r="BM1317" i="1"/>
  <c r="BM1318" i="1"/>
  <c r="BM1319" i="1"/>
  <c r="BM1320" i="1"/>
  <c r="BM1321" i="1"/>
  <c r="BM1322" i="1"/>
  <c r="BM1323" i="1"/>
  <c r="BM1324" i="1"/>
  <c r="BM1325" i="1"/>
  <c r="BM1326" i="1"/>
  <c r="BM1327" i="1"/>
  <c r="BM1328" i="1"/>
  <c r="BM1329" i="1"/>
  <c r="BM1330" i="1"/>
  <c r="BM1331" i="1"/>
  <c r="BM1332" i="1"/>
  <c r="BM1333" i="1"/>
  <c r="BM1334" i="1"/>
  <c r="BM1335" i="1"/>
  <c r="BM1336" i="1"/>
  <c r="BM1337" i="1"/>
  <c r="BM1338" i="1"/>
  <c r="BM1339" i="1"/>
  <c r="BM1340" i="1"/>
  <c r="BM1341" i="1"/>
  <c r="BM1342" i="1"/>
  <c r="BM1343" i="1"/>
  <c r="BM1344" i="1"/>
  <c r="BM1345" i="1"/>
  <c r="BM1346" i="1"/>
  <c r="BM1347" i="1"/>
  <c r="BM1348" i="1"/>
  <c r="BM1349" i="1"/>
  <c r="BM1350" i="1"/>
  <c r="BM1351" i="1"/>
  <c r="BM1352" i="1"/>
  <c r="BM1353" i="1"/>
  <c r="BM1354" i="1"/>
  <c r="BM1355" i="1"/>
  <c r="BM1356" i="1"/>
  <c r="BM1357" i="1"/>
  <c r="BM1358" i="1"/>
  <c r="BM1359" i="1"/>
  <c r="BM1360" i="1"/>
  <c r="BM1361" i="1"/>
  <c r="BM1362" i="1"/>
  <c r="BM1363" i="1"/>
  <c r="BM1364" i="1"/>
  <c r="BM1365" i="1"/>
  <c r="BM1366" i="1"/>
  <c r="BM1367" i="1"/>
  <c r="BM1368" i="1"/>
  <c r="BM1369" i="1"/>
  <c r="BM1370" i="1"/>
  <c r="BM1371" i="1"/>
  <c r="BM1372" i="1"/>
  <c r="BM137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2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L1144" i="1"/>
  <c r="BL1145" i="1"/>
  <c r="BL1146" i="1"/>
  <c r="BL1147" i="1"/>
  <c r="BL1148" i="1"/>
  <c r="BL1149" i="1"/>
  <c r="BL1150" i="1"/>
  <c r="BL1151" i="1"/>
  <c r="BL1152" i="1"/>
  <c r="BL1153" i="1"/>
  <c r="BL1154" i="1"/>
  <c r="BL1155" i="1"/>
  <c r="BL1156" i="1"/>
  <c r="BL1157" i="1"/>
  <c r="BL1158" i="1"/>
  <c r="BL1159" i="1"/>
  <c r="BL1160" i="1"/>
  <c r="BL1161" i="1"/>
  <c r="BL1162" i="1"/>
  <c r="BL1163" i="1"/>
  <c r="BL1164" i="1"/>
  <c r="BL1165" i="1"/>
  <c r="BL1166" i="1"/>
  <c r="BL1167" i="1"/>
  <c r="BL1168" i="1"/>
  <c r="BL1169" i="1"/>
  <c r="BL1170" i="1"/>
  <c r="BL1171" i="1"/>
  <c r="BL1172" i="1"/>
  <c r="BL1173" i="1"/>
  <c r="BL1174" i="1"/>
  <c r="BL1175" i="1"/>
  <c r="BL1176" i="1"/>
  <c r="BL1177" i="1"/>
  <c r="BL1178" i="1"/>
  <c r="BL1179" i="1"/>
  <c r="BL1180" i="1"/>
  <c r="BL1181" i="1"/>
  <c r="BL1182" i="1"/>
  <c r="BL1183" i="1"/>
  <c r="BL1184" i="1"/>
  <c r="BL1185" i="1"/>
  <c r="BL1186" i="1"/>
  <c r="BL1187" i="1"/>
  <c r="BL1188" i="1"/>
  <c r="BL1189" i="1"/>
  <c r="BL1190" i="1"/>
  <c r="BL1191" i="1"/>
  <c r="BL1192" i="1"/>
  <c r="BL1193" i="1"/>
  <c r="BL1194" i="1"/>
  <c r="BL1195" i="1"/>
  <c r="BL1196" i="1"/>
  <c r="BL1197" i="1"/>
  <c r="BL1198" i="1"/>
  <c r="BL1199" i="1"/>
  <c r="BL1200" i="1"/>
  <c r="BL1201" i="1"/>
  <c r="BL1202" i="1"/>
  <c r="BL1203" i="1"/>
  <c r="BL1204" i="1"/>
  <c r="BL1205" i="1"/>
  <c r="BL1206" i="1"/>
  <c r="BL1207" i="1"/>
  <c r="BL1208" i="1"/>
  <c r="BL1209" i="1"/>
  <c r="BL1210" i="1"/>
  <c r="BL1211" i="1"/>
  <c r="BL1212" i="1"/>
  <c r="BL1213" i="1"/>
  <c r="BL1214" i="1"/>
  <c r="BL1215" i="1"/>
  <c r="BL1216" i="1"/>
  <c r="BL1217" i="1"/>
  <c r="BL1218" i="1"/>
  <c r="BL1219" i="1"/>
  <c r="BL1220" i="1"/>
  <c r="BL1221" i="1"/>
  <c r="BL1222" i="1"/>
  <c r="BL1223" i="1"/>
  <c r="BL1224" i="1"/>
  <c r="BL1225" i="1"/>
  <c r="BL1226" i="1"/>
  <c r="BL1227" i="1"/>
  <c r="BL1228" i="1"/>
  <c r="BL1229" i="1"/>
  <c r="BL1230" i="1"/>
  <c r="BL1231" i="1"/>
  <c r="BL1232" i="1"/>
  <c r="BL1233" i="1"/>
  <c r="BL1234" i="1"/>
  <c r="BL1235" i="1"/>
  <c r="BL1236" i="1"/>
  <c r="BL1237" i="1"/>
  <c r="BL1238" i="1"/>
  <c r="BL1239" i="1"/>
  <c r="BL1240" i="1"/>
  <c r="BL1241" i="1"/>
  <c r="BL1242" i="1"/>
  <c r="BL1243" i="1"/>
  <c r="BL1244" i="1"/>
  <c r="BL1245" i="1"/>
  <c r="BL1246" i="1"/>
  <c r="BL1247" i="1"/>
  <c r="BL1248" i="1"/>
  <c r="BL1249" i="1"/>
  <c r="BL1250" i="1"/>
  <c r="BL1251" i="1"/>
  <c r="BL1252" i="1"/>
  <c r="BL1253" i="1"/>
  <c r="BL1254" i="1"/>
  <c r="BL1255" i="1"/>
  <c r="BL1256" i="1"/>
  <c r="BL1257" i="1"/>
  <c r="BL1258" i="1"/>
  <c r="BL1259" i="1"/>
  <c r="BL1260" i="1"/>
  <c r="BL1261" i="1"/>
  <c r="BL1262" i="1"/>
  <c r="BL1263" i="1"/>
  <c r="BL1264" i="1"/>
  <c r="BL1265" i="1"/>
  <c r="BL1266" i="1"/>
  <c r="BL1267" i="1"/>
  <c r="BL1268" i="1"/>
  <c r="BL1269" i="1"/>
  <c r="BL1270" i="1"/>
  <c r="BL1271" i="1"/>
  <c r="BL1272" i="1"/>
  <c r="BL1273" i="1"/>
  <c r="BL1274" i="1"/>
  <c r="BL1275" i="1"/>
  <c r="BL1276" i="1"/>
  <c r="BL1277" i="1"/>
  <c r="BL1278" i="1"/>
  <c r="BL1279" i="1"/>
  <c r="BL1280" i="1"/>
  <c r="BL1281" i="1"/>
  <c r="BL1282" i="1"/>
  <c r="BL1283" i="1"/>
  <c r="BL1284" i="1"/>
  <c r="BL1285" i="1"/>
  <c r="BL1286" i="1"/>
  <c r="BL1287" i="1"/>
  <c r="BL1288" i="1"/>
  <c r="BL1289" i="1"/>
  <c r="BL1290" i="1"/>
  <c r="BL1291" i="1"/>
  <c r="BL1292" i="1"/>
  <c r="BL1293" i="1"/>
  <c r="BL1294" i="1"/>
  <c r="BL1295" i="1"/>
  <c r="BL1296" i="1"/>
  <c r="BL1297" i="1"/>
  <c r="BL1298" i="1"/>
  <c r="BL1299" i="1"/>
  <c r="BL1300" i="1"/>
  <c r="BL1301" i="1"/>
  <c r="BL1302" i="1"/>
  <c r="BL1303" i="1"/>
  <c r="BL1304" i="1"/>
  <c r="BL1305" i="1"/>
  <c r="BL1306" i="1"/>
  <c r="BL1307" i="1"/>
  <c r="BL1308" i="1"/>
  <c r="BL1309" i="1"/>
  <c r="BL1310" i="1"/>
  <c r="BL1311" i="1"/>
  <c r="BL1312" i="1"/>
  <c r="BL1313" i="1"/>
  <c r="BL1314" i="1"/>
  <c r="BL1315" i="1"/>
  <c r="BL1316" i="1"/>
  <c r="BL1317" i="1"/>
  <c r="BL1318" i="1"/>
  <c r="BL1319" i="1"/>
  <c r="BL1320" i="1"/>
  <c r="BL1321" i="1"/>
  <c r="BL1322" i="1"/>
  <c r="BL1323" i="1"/>
  <c r="BL1324" i="1"/>
  <c r="BL1325" i="1"/>
  <c r="BL1326" i="1"/>
  <c r="BL1327" i="1"/>
  <c r="BL1328" i="1"/>
  <c r="BL1329" i="1"/>
  <c r="BL1330" i="1"/>
  <c r="BL1331" i="1"/>
  <c r="BL1332" i="1"/>
  <c r="BL1333" i="1"/>
  <c r="BL1334" i="1"/>
  <c r="BL1335" i="1"/>
  <c r="BL1336" i="1"/>
  <c r="BL1337" i="1"/>
  <c r="BL1338" i="1"/>
  <c r="BL1339" i="1"/>
  <c r="BL1340" i="1"/>
  <c r="BL1341" i="1"/>
  <c r="BL1342" i="1"/>
  <c r="BL1343" i="1"/>
  <c r="BL1344" i="1"/>
  <c r="BL1345" i="1"/>
  <c r="BL1346" i="1"/>
  <c r="BL1347" i="1"/>
  <c r="BL1348" i="1"/>
  <c r="BL1349" i="1"/>
  <c r="BL1350" i="1"/>
  <c r="BL1351" i="1"/>
  <c r="BL1352" i="1"/>
  <c r="BL1353" i="1"/>
  <c r="BL1354" i="1"/>
  <c r="BL1355" i="1"/>
  <c r="BL1356" i="1"/>
  <c r="BL1357" i="1"/>
  <c r="BL1358" i="1"/>
  <c r="BL1359" i="1"/>
  <c r="BL1360" i="1"/>
  <c r="BL1361" i="1"/>
  <c r="BL1362" i="1"/>
  <c r="BL1363" i="1"/>
  <c r="BL1364" i="1"/>
  <c r="BL1365" i="1"/>
  <c r="BL1366" i="1"/>
  <c r="BL1367" i="1"/>
  <c r="BL1368" i="1"/>
  <c r="BL1369" i="1"/>
  <c r="BL1370" i="1"/>
  <c r="BL1371" i="1"/>
  <c r="BL1372" i="1"/>
  <c r="BL137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K1161" i="1"/>
  <c r="BK1162" i="1"/>
  <c r="BK1163" i="1"/>
  <c r="BK1164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6" i="1"/>
  <c r="BK1177" i="1"/>
  <c r="BK1178" i="1"/>
  <c r="BK1179" i="1"/>
  <c r="BK1180" i="1"/>
  <c r="BK1181" i="1"/>
  <c r="BK1182" i="1"/>
  <c r="BK1183" i="1"/>
  <c r="BK1184" i="1"/>
  <c r="BK1185" i="1"/>
  <c r="BK1186" i="1"/>
  <c r="BK1187" i="1"/>
  <c r="BK1188" i="1"/>
  <c r="BK1189" i="1"/>
  <c r="BK1190" i="1"/>
  <c r="BK1191" i="1"/>
  <c r="BK1192" i="1"/>
  <c r="BK1193" i="1"/>
  <c r="BK1194" i="1"/>
  <c r="BK1195" i="1"/>
  <c r="BK1196" i="1"/>
  <c r="BK1197" i="1"/>
  <c r="BK1198" i="1"/>
  <c r="BK1199" i="1"/>
  <c r="BK1200" i="1"/>
  <c r="BK1201" i="1"/>
  <c r="BK1202" i="1"/>
  <c r="BK1203" i="1"/>
  <c r="BK1204" i="1"/>
  <c r="BK1205" i="1"/>
  <c r="BK1206" i="1"/>
  <c r="BK1207" i="1"/>
  <c r="BK1208" i="1"/>
  <c r="BK1209" i="1"/>
  <c r="BK1210" i="1"/>
  <c r="BK1211" i="1"/>
  <c r="BK1212" i="1"/>
  <c r="BK1213" i="1"/>
  <c r="BK1214" i="1"/>
  <c r="BK1215" i="1"/>
  <c r="BK1216" i="1"/>
  <c r="BK1217" i="1"/>
  <c r="BK1218" i="1"/>
  <c r="BK1219" i="1"/>
  <c r="BK1220" i="1"/>
  <c r="BK1221" i="1"/>
  <c r="BK1222" i="1"/>
  <c r="BK1223" i="1"/>
  <c r="BK1224" i="1"/>
  <c r="BK1225" i="1"/>
  <c r="BK1226" i="1"/>
  <c r="BK1227" i="1"/>
  <c r="BK1228" i="1"/>
  <c r="BK1229" i="1"/>
  <c r="BK1230" i="1"/>
  <c r="BK1231" i="1"/>
  <c r="BK1232" i="1"/>
  <c r="BK1233" i="1"/>
  <c r="BK1234" i="1"/>
  <c r="BK1235" i="1"/>
  <c r="BK1236" i="1"/>
  <c r="BK1237" i="1"/>
  <c r="BK1238" i="1"/>
  <c r="BK1239" i="1"/>
  <c r="BK1240" i="1"/>
  <c r="BK1241" i="1"/>
  <c r="BK1242" i="1"/>
  <c r="BK1243" i="1"/>
  <c r="BK1244" i="1"/>
  <c r="BK1245" i="1"/>
  <c r="BK1246" i="1"/>
  <c r="BK1247" i="1"/>
  <c r="BK1248" i="1"/>
  <c r="BK1249" i="1"/>
  <c r="BK1250" i="1"/>
  <c r="BK1251" i="1"/>
  <c r="BK1252" i="1"/>
  <c r="BK1253" i="1"/>
  <c r="BK1254" i="1"/>
  <c r="BK1255" i="1"/>
  <c r="BK1256" i="1"/>
  <c r="BK1257" i="1"/>
  <c r="BK1258" i="1"/>
  <c r="BK1259" i="1"/>
  <c r="BK1260" i="1"/>
  <c r="BK1261" i="1"/>
  <c r="BK1262" i="1"/>
  <c r="BK1263" i="1"/>
  <c r="BK1264" i="1"/>
  <c r="BK1265" i="1"/>
  <c r="BK1266" i="1"/>
  <c r="BK1267" i="1"/>
  <c r="BK1268" i="1"/>
  <c r="BK1269" i="1"/>
  <c r="BK1270" i="1"/>
  <c r="BK1271" i="1"/>
  <c r="BK1272" i="1"/>
  <c r="BK1273" i="1"/>
  <c r="BK1274" i="1"/>
  <c r="BK1275" i="1"/>
  <c r="BK1276" i="1"/>
  <c r="BK1277" i="1"/>
  <c r="BK1278" i="1"/>
  <c r="BK1279" i="1"/>
  <c r="BK1280" i="1"/>
  <c r="BK1281" i="1"/>
  <c r="BK1282" i="1"/>
  <c r="BK1283" i="1"/>
  <c r="BK1284" i="1"/>
  <c r="BK1285" i="1"/>
  <c r="BK1286" i="1"/>
  <c r="BK1287" i="1"/>
  <c r="BK1288" i="1"/>
  <c r="BK1289" i="1"/>
  <c r="BK1290" i="1"/>
  <c r="BK1291" i="1"/>
  <c r="BK1292" i="1"/>
  <c r="BK1293" i="1"/>
  <c r="BK1294" i="1"/>
  <c r="BK1295" i="1"/>
  <c r="BK1296" i="1"/>
  <c r="BK1297" i="1"/>
  <c r="BK1298" i="1"/>
  <c r="BK1299" i="1"/>
  <c r="BK1300" i="1"/>
  <c r="BK1301" i="1"/>
  <c r="BK1302" i="1"/>
  <c r="BK1303" i="1"/>
  <c r="BK1304" i="1"/>
  <c r="BK1305" i="1"/>
  <c r="BK1306" i="1"/>
  <c r="BK1307" i="1"/>
  <c r="BK1308" i="1"/>
  <c r="BK1309" i="1"/>
  <c r="BK1310" i="1"/>
  <c r="BK1311" i="1"/>
  <c r="BK1312" i="1"/>
  <c r="BK1313" i="1"/>
  <c r="BK1314" i="1"/>
  <c r="BK1315" i="1"/>
  <c r="BK1316" i="1"/>
  <c r="BK1317" i="1"/>
  <c r="BK1318" i="1"/>
  <c r="BK1319" i="1"/>
  <c r="BK1320" i="1"/>
  <c r="BK1321" i="1"/>
  <c r="BK1322" i="1"/>
  <c r="BK1323" i="1"/>
  <c r="BK1324" i="1"/>
  <c r="BK1325" i="1"/>
  <c r="BK1326" i="1"/>
  <c r="BK1327" i="1"/>
  <c r="BK1328" i="1"/>
  <c r="BK1329" i="1"/>
  <c r="BK1330" i="1"/>
  <c r="BK1331" i="1"/>
  <c r="BK1332" i="1"/>
  <c r="BK1333" i="1"/>
  <c r="BK1334" i="1"/>
  <c r="BK1335" i="1"/>
  <c r="BK1336" i="1"/>
  <c r="BK1337" i="1"/>
  <c r="BK1338" i="1"/>
  <c r="BK1339" i="1"/>
  <c r="BK1340" i="1"/>
  <c r="BK1341" i="1"/>
  <c r="BK1342" i="1"/>
  <c r="BK1343" i="1"/>
  <c r="BK1344" i="1"/>
  <c r="BK1345" i="1"/>
  <c r="BK1346" i="1"/>
  <c r="BK1347" i="1"/>
  <c r="BK1348" i="1"/>
  <c r="BK1349" i="1"/>
  <c r="BK1350" i="1"/>
  <c r="BK1351" i="1"/>
  <c r="BK1352" i="1"/>
  <c r="BK1353" i="1"/>
  <c r="BK1354" i="1"/>
  <c r="BK1355" i="1"/>
  <c r="BK1356" i="1"/>
  <c r="BK1357" i="1"/>
  <c r="BK1358" i="1"/>
  <c r="BK1359" i="1"/>
  <c r="BK1360" i="1"/>
  <c r="BK1361" i="1"/>
  <c r="BK1362" i="1"/>
  <c r="BK1363" i="1"/>
  <c r="BK1364" i="1"/>
  <c r="BK1365" i="1"/>
  <c r="BK1366" i="1"/>
  <c r="BK1367" i="1"/>
  <c r="BK1368" i="1"/>
  <c r="BK1369" i="1"/>
  <c r="BK1370" i="1"/>
  <c r="BK1371" i="1"/>
  <c r="BK1372" i="1"/>
  <c r="BK137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1027" i="1"/>
  <c r="BJ1028" i="1"/>
  <c r="BJ1029" i="1"/>
  <c r="BJ1030" i="1"/>
  <c r="BJ1031" i="1"/>
  <c r="BJ1032" i="1"/>
  <c r="BJ1033" i="1"/>
  <c r="BJ1034" i="1"/>
  <c r="BJ1035" i="1"/>
  <c r="BJ1036" i="1"/>
  <c r="BJ1037" i="1"/>
  <c r="BJ1038" i="1"/>
  <c r="BJ1039" i="1"/>
  <c r="BJ1040" i="1"/>
  <c r="BJ1041" i="1"/>
  <c r="BJ1042" i="1"/>
  <c r="BJ1043" i="1"/>
  <c r="BJ1044" i="1"/>
  <c r="BJ1045" i="1"/>
  <c r="BJ1046" i="1"/>
  <c r="BJ1047" i="1"/>
  <c r="BJ1048" i="1"/>
  <c r="BJ1049" i="1"/>
  <c r="BJ1050" i="1"/>
  <c r="BJ1051" i="1"/>
  <c r="BJ1052" i="1"/>
  <c r="BJ1053" i="1"/>
  <c r="BJ1054" i="1"/>
  <c r="BJ1055" i="1"/>
  <c r="BJ1056" i="1"/>
  <c r="BJ1057" i="1"/>
  <c r="BJ1058" i="1"/>
  <c r="BJ1059" i="1"/>
  <c r="BJ1060" i="1"/>
  <c r="BJ1061" i="1"/>
  <c r="BJ1062" i="1"/>
  <c r="BJ1063" i="1"/>
  <c r="BJ1064" i="1"/>
  <c r="BJ1065" i="1"/>
  <c r="BJ1066" i="1"/>
  <c r="BJ1067" i="1"/>
  <c r="BJ1068" i="1"/>
  <c r="BJ1069" i="1"/>
  <c r="BJ1070" i="1"/>
  <c r="BJ1071" i="1"/>
  <c r="BJ1072" i="1"/>
  <c r="BJ1073" i="1"/>
  <c r="BJ1074" i="1"/>
  <c r="BJ1075" i="1"/>
  <c r="BJ1076" i="1"/>
  <c r="BJ1077" i="1"/>
  <c r="BJ1078" i="1"/>
  <c r="BJ1079" i="1"/>
  <c r="BJ1080" i="1"/>
  <c r="BJ1081" i="1"/>
  <c r="BJ1082" i="1"/>
  <c r="BJ1083" i="1"/>
  <c r="BJ1084" i="1"/>
  <c r="BJ1085" i="1"/>
  <c r="BJ1086" i="1"/>
  <c r="BJ1087" i="1"/>
  <c r="BJ1088" i="1"/>
  <c r="BJ1089" i="1"/>
  <c r="BJ1090" i="1"/>
  <c r="BJ1091" i="1"/>
  <c r="BJ1092" i="1"/>
  <c r="BJ1093" i="1"/>
  <c r="BJ1094" i="1"/>
  <c r="BJ1095" i="1"/>
  <c r="BJ1096" i="1"/>
  <c r="BJ1097" i="1"/>
  <c r="BJ1098" i="1"/>
  <c r="BJ1099" i="1"/>
  <c r="BJ1100" i="1"/>
  <c r="BJ1101" i="1"/>
  <c r="BJ1102" i="1"/>
  <c r="BJ1103" i="1"/>
  <c r="BJ1104" i="1"/>
  <c r="BJ1105" i="1"/>
  <c r="BJ1106" i="1"/>
  <c r="BJ1107" i="1"/>
  <c r="BJ1108" i="1"/>
  <c r="BJ1109" i="1"/>
  <c r="BJ1110" i="1"/>
  <c r="BJ1111" i="1"/>
  <c r="BJ1112" i="1"/>
  <c r="BJ1113" i="1"/>
  <c r="BJ1114" i="1"/>
  <c r="BJ1115" i="1"/>
  <c r="BJ1116" i="1"/>
  <c r="BJ1117" i="1"/>
  <c r="BJ1118" i="1"/>
  <c r="BJ1119" i="1"/>
  <c r="BJ1120" i="1"/>
  <c r="BJ1121" i="1"/>
  <c r="BJ1122" i="1"/>
  <c r="BJ1123" i="1"/>
  <c r="BJ1124" i="1"/>
  <c r="BJ1125" i="1"/>
  <c r="BJ1126" i="1"/>
  <c r="BJ1127" i="1"/>
  <c r="BJ1128" i="1"/>
  <c r="BJ1129" i="1"/>
  <c r="BJ1130" i="1"/>
  <c r="BJ1131" i="1"/>
  <c r="BJ1132" i="1"/>
  <c r="BJ1133" i="1"/>
  <c r="BJ1134" i="1"/>
  <c r="BJ1135" i="1"/>
  <c r="BJ1136" i="1"/>
  <c r="BJ1137" i="1"/>
  <c r="BJ1138" i="1"/>
  <c r="BJ1139" i="1"/>
  <c r="BJ1140" i="1"/>
  <c r="BJ1141" i="1"/>
  <c r="BJ1142" i="1"/>
  <c r="BJ1143" i="1"/>
  <c r="BJ1144" i="1"/>
  <c r="BJ1145" i="1"/>
  <c r="BJ1146" i="1"/>
  <c r="BJ1147" i="1"/>
  <c r="BJ1148" i="1"/>
  <c r="BJ1149" i="1"/>
  <c r="BJ1150" i="1"/>
  <c r="BJ1151" i="1"/>
  <c r="BJ1152" i="1"/>
  <c r="BJ1153" i="1"/>
  <c r="BJ1154" i="1"/>
  <c r="BJ1155" i="1"/>
  <c r="BJ1156" i="1"/>
  <c r="BJ1157" i="1"/>
  <c r="BJ1158" i="1"/>
  <c r="BJ1159" i="1"/>
  <c r="BJ1160" i="1"/>
  <c r="BJ1161" i="1"/>
  <c r="BJ1162" i="1"/>
  <c r="BJ1163" i="1"/>
  <c r="BJ1164" i="1"/>
  <c r="BJ1165" i="1"/>
  <c r="BJ1166" i="1"/>
  <c r="BJ1167" i="1"/>
  <c r="BJ1168" i="1"/>
  <c r="BJ1169" i="1"/>
  <c r="BJ1170" i="1"/>
  <c r="BJ1171" i="1"/>
  <c r="BJ1172" i="1"/>
  <c r="BJ1173" i="1"/>
  <c r="BJ1174" i="1"/>
  <c r="BJ1175" i="1"/>
  <c r="BJ1176" i="1"/>
  <c r="BJ1177" i="1"/>
  <c r="BJ1178" i="1"/>
  <c r="BJ1179" i="1"/>
  <c r="BJ1180" i="1"/>
  <c r="BJ1181" i="1"/>
  <c r="BJ1182" i="1"/>
  <c r="BJ1183" i="1"/>
  <c r="BJ1184" i="1"/>
  <c r="BJ1185" i="1"/>
  <c r="BJ1186" i="1"/>
  <c r="BJ1187" i="1"/>
  <c r="BJ1188" i="1"/>
  <c r="BJ1189" i="1"/>
  <c r="BJ1190" i="1"/>
  <c r="BJ1191" i="1"/>
  <c r="BJ1192" i="1"/>
  <c r="BJ1193" i="1"/>
  <c r="BJ1194" i="1"/>
  <c r="BJ1195" i="1"/>
  <c r="BJ1196" i="1"/>
  <c r="BJ1197" i="1"/>
  <c r="BJ1198" i="1"/>
  <c r="BJ1199" i="1"/>
  <c r="BJ1200" i="1"/>
  <c r="BJ1201" i="1"/>
  <c r="BJ1202" i="1"/>
  <c r="BJ1203" i="1"/>
  <c r="BJ1204" i="1"/>
  <c r="BJ1205" i="1"/>
  <c r="BJ1206" i="1"/>
  <c r="BJ1207" i="1"/>
  <c r="BJ1208" i="1"/>
  <c r="BJ1209" i="1"/>
  <c r="BJ1210" i="1"/>
  <c r="BJ1211" i="1"/>
  <c r="BJ1212" i="1"/>
  <c r="BJ1213" i="1"/>
  <c r="BJ1214" i="1"/>
  <c r="BJ1215" i="1"/>
  <c r="BJ1216" i="1"/>
  <c r="BJ1217" i="1"/>
  <c r="BJ1218" i="1"/>
  <c r="BJ1219" i="1"/>
  <c r="BJ1220" i="1"/>
  <c r="BJ1221" i="1"/>
  <c r="BJ1222" i="1"/>
  <c r="BJ1223" i="1"/>
  <c r="BJ1224" i="1"/>
  <c r="BJ1225" i="1"/>
  <c r="BJ1226" i="1"/>
  <c r="BJ1227" i="1"/>
  <c r="BJ1228" i="1"/>
  <c r="BJ1229" i="1"/>
  <c r="BJ1230" i="1"/>
  <c r="BJ1231" i="1"/>
  <c r="BJ1232" i="1"/>
  <c r="BJ1233" i="1"/>
  <c r="BJ1234" i="1"/>
  <c r="BJ1235" i="1"/>
  <c r="BJ1236" i="1"/>
  <c r="BJ1237" i="1"/>
  <c r="BJ1238" i="1"/>
  <c r="BJ1239" i="1"/>
  <c r="BJ1240" i="1"/>
  <c r="BJ1241" i="1"/>
  <c r="BJ1242" i="1"/>
  <c r="BJ1243" i="1"/>
  <c r="BJ1244" i="1"/>
  <c r="BJ1245" i="1"/>
  <c r="BJ1246" i="1"/>
  <c r="BJ1247" i="1"/>
  <c r="BJ1248" i="1"/>
  <c r="BJ1249" i="1"/>
  <c r="BJ1250" i="1"/>
  <c r="BJ1251" i="1"/>
  <c r="BJ1252" i="1"/>
  <c r="BJ1253" i="1"/>
  <c r="BJ1254" i="1"/>
  <c r="BJ1255" i="1"/>
  <c r="BJ1256" i="1"/>
  <c r="BJ1257" i="1"/>
  <c r="BJ1258" i="1"/>
  <c r="BJ1259" i="1"/>
  <c r="BJ1260" i="1"/>
  <c r="BJ1261" i="1"/>
  <c r="BJ1262" i="1"/>
  <c r="BJ1263" i="1"/>
  <c r="BJ1264" i="1"/>
  <c r="BJ1265" i="1"/>
  <c r="BJ1266" i="1"/>
  <c r="BJ1267" i="1"/>
  <c r="BJ1268" i="1"/>
  <c r="BJ1269" i="1"/>
  <c r="BJ1270" i="1"/>
  <c r="BJ1271" i="1"/>
  <c r="BJ1272" i="1"/>
  <c r="BJ1273" i="1"/>
  <c r="BJ1274" i="1"/>
  <c r="BJ1275" i="1"/>
  <c r="BJ1276" i="1"/>
  <c r="BJ1277" i="1"/>
  <c r="BJ1278" i="1"/>
  <c r="BJ1279" i="1"/>
  <c r="BJ1280" i="1"/>
  <c r="BJ1281" i="1"/>
  <c r="BJ1282" i="1"/>
  <c r="BJ1283" i="1"/>
  <c r="BJ1284" i="1"/>
  <c r="BJ1285" i="1"/>
  <c r="BJ1286" i="1"/>
  <c r="BJ1287" i="1"/>
  <c r="BJ1288" i="1"/>
  <c r="BJ1289" i="1"/>
  <c r="BJ1290" i="1"/>
  <c r="BJ1291" i="1"/>
  <c r="BJ1292" i="1"/>
  <c r="BJ1293" i="1"/>
  <c r="BJ1294" i="1"/>
  <c r="BJ1295" i="1"/>
  <c r="BJ1296" i="1"/>
  <c r="BJ1297" i="1"/>
  <c r="BJ1298" i="1"/>
  <c r="BJ1299" i="1"/>
  <c r="BJ1300" i="1"/>
  <c r="BJ1301" i="1"/>
  <c r="BJ1302" i="1"/>
  <c r="BJ1303" i="1"/>
  <c r="BJ1304" i="1"/>
  <c r="BJ1305" i="1"/>
  <c r="BJ1306" i="1"/>
  <c r="BJ1307" i="1"/>
  <c r="BJ1308" i="1"/>
  <c r="BJ1309" i="1"/>
  <c r="BJ1310" i="1"/>
  <c r="BJ1311" i="1"/>
  <c r="BJ1312" i="1"/>
  <c r="BJ1313" i="1"/>
  <c r="BJ1314" i="1"/>
  <c r="BJ1315" i="1"/>
  <c r="BJ1316" i="1"/>
  <c r="BJ1317" i="1"/>
  <c r="BJ1318" i="1"/>
  <c r="BJ1319" i="1"/>
  <c r="BJ1320" i="1"/>
  <c r="BJ1321" i="1"/>
  <c r="BJ1322" i="1"/>
  <c r="BJ1323" i="1"/>
  <c r="BJ1324" i="1"/>
  <c r="BJ1325" i="1"/>
  <c r="BJ1326" i="1"/>
  <c r="BJ1327" i="1"/>
  <c r="BJ1328" i="1"/>
  <c r="BJ1329" i="1"/>
  <c r="BJ1330" i="1"/>
  <c r="BJ1331" i="1"/>
  <c r="BJ1332" i="1"/>
  <c r="BJ1333" i="1"/>
  <c r="BJ1334" i="1"/>
  <c r="BJ1335" i="1"/>
  <c r="BJ1336" i="1"/>
  <c r="BJ1337" i="1"/>
  <c r="BJ1338" i="1"/>
  <c r="BJ1339" i="1"/>
  <c r="BJ1340" i="1"/>
  <c r="BJ1341" i="1"/>
  <c r="BJ1342" i="1"/>
  <c r="BJ1343" i="1"/>
  <c r="BJ1344" i="1"/>
  <c r="BJ1345" i="1"/>
  <c r="BJ1346" i="1"/>
  <c r="BJ1347" i="1"/>
  <c r="BJ1348" i="1"/>
  <c r="BJ1349" i="1"/>
  <c r="BJ1350" i="1"/>
  <c r="BJ1351" i="1"/>
  <c r="BJ1352" i="1"/>
  <c r="BJ1353" i="1"/>
  <c r="BJ1354" i="1"/>
  <c r="BJ1355" i="1"/>
  <c r="BJ1356" i="1"/>
  <c r="BJ1357" i="1"/>
  <c r="BJ1358" i="1"/>
  <c r="BJ1359" i="1"/>
  <c r="BJ1360" i="1"/>
  <c r="BJ1361" i="1"/>
  <c r="BJ1362" i="1"/>
  <c r="BJ1363" i="1"/>
  <c r="BJ1364" i="1"/>
  <c r="BJ1365" i="1"/>
  <c r="BJ1366" i="1"/>
  <c r="BJ1367" i="1"/>
  <c r="BJ1368" i="1"/>
  <c r="BJ1369" i="1"/>
  <c r="BJ1370" i="1"/>
  <c r="BJ1371" i="1"/>
  <c r="BJ1372" i="1"/>
  <c r="BJ137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300" i="1"/>
  <c r="BI1301" i="1"/>
  <c r="BI1302" i="1"/>
  <c r="BI1303" i="1"/>
  <c r="BI1304" i="1"/>
  <c r="BI1305" i="1"/>
  <c r="BI1306" i="1"/>
  <c r="BI1307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5" i="1"/>
  <c r="BI1326" i="1"/>
  <c r="BI1327" i="1"/>
  <c r="BI1328" i="1"/>
  <c r="BI1329" i="1"/>
  <c r="BI1330" i="1"/>
  <c r="BI1331" i="1"/>
  <c r="BI1332" i="1"/>
  <c r="BI1333" i="1"/>
  <c r="BI1334" i="1"/>
  <c r="BI1335" i="1"/>
  <c r="BI1336" i="1"/>
  <c r="BI1337" i="1"/>
  <c r="BI1338" i="1"/>
  <c r="BI1339" i="1"/>
  <c r="BI1340" i="1"/>
  <c r="BI1341" i="1"/>
  <c r="BI1342" i="1"/>
  <c r="BI1343" i="1"/>
  <c r="BI1344" i="1"/>
  <c r="BI1345" i="1"/>
  <c r="BI1346" i="1"/>
  <c r="BI1347" i="1"/>
  <c r="BI1348" i="1"/>
  <c r="BI1349" i="1"/>
  <c r="BI1350" i="1"/>
  <c r="BI1351" i="1"/>
  <c r="BI1352" i="1"/>
  <c r="BI1353" i="1"/>
  <c r="BI1354" i="1"/>
  <c r="BI1355" i="1"/>
  <c r="BI1356" i="1"/>
  <c r="BI1357" i="1"/>
  <c r="BI1358" i="1"/>
  <c r="BI1359" i="1"/>
  <c r="BI1360" i="1"/>
  <c r="BI1361" i="1"/>
  <c r="BI1362" i="1"/>
  <c r="BI1363" i="1"/>
  <c r="BI1364" i="1"/>
  <c r="BI1365" i="1"/>
  <c r="BI1366" i="1"/>
  <c r="BI1367" i="1"/>
  <c r="BI1368" i="1"/>
  <c r="BI1369" i="1"/>
  <c r="BI1370" i="1"/>
  <c r="BI1371" i="1"/>
  <c r="BI1372" i="1"/>
  <c r="BI137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1195" i="1"/>
  <c r="BH1196" i="1"/>
  <c r="BH1197" i="1"/>
  <c r="BH1198" i="1"/>
  <c r="BH1199" i="1"/>
  <c r="BH1200" i="1"/>
  <c r="BH1201" i="1"/>
  <c r="BH1202" i="1"/>
  <c r="BH1203" i="1"/>
  <c r="BH1204" i="1"/>
  <c r="BH1205" i="1"/>
  <c r="BH1206" i="1"/>
  <c r="BH1207" i="1"/>
  <c r="BH1208" i="1"/>
  <c r="BH1209" i="1"/>
  <c r="BH1210" i="1"/>
  <c r="BH1211" i="1"/>
  <c r="BH1212" i="1"/>
  <c r="BH1213" i="1"/>
  <c r="BH1214" i="1"/>
  <c r="BH1215" i="1"/>
  <c r="BH1216" i="1"/>
  <c r="BH1217" i="1"/>
  <c r="BH1218" i="1"/>
  <c r="BH1219" i="1"/>
  <c r="BH1220" i="1"/>
  <c r="BH1221" i="1"/>
  <c r="BH1222" i="1"/>
  <c r="BH1223" i="1"/>
  <c r="BH1224" i="1"/>
  <c r="BH1225" i="1"/>
  <c r="BH1226" i="1"/>
  <c r="BH1227" i="1"/>
  <c r="BH1228" i="1"/>
  <c r="BH1229" i="1"/>
  <c r="BH1230" i="1"/>
  <c r="BH1231" i="1"/>
  <c r="BH1232" i="1"/>
  <c r="BH1233" i="1"/>
  <c r="BH1234" i="1"/>
  <c r="BH1235" i="1"/>
  <c r="BH1236" i="1"/>
  <c r="BH1237" i="1"/>
  <c r="BH1238" i="1"/>
  <c r="BH1239" i="1"/>
  <c r="BH1240" i="1"/>
  <c r="BH1241" i="1"/>
  <c r="BH1242" i="1"/>
  <c r="BH1243" i="1"/>
  <c r="BH1244" i="1"/>
  <c r="BH1245" i="1"/>
  <c r="BH1246" i="1"/>
  <c r="BH1247" i="1"/>
  <c r="BH1248" i="1"/>
  <c r="BH1249" i="1"/>
  <c r="BH1250" i="1"/>
  <c r="BH1251" i="1"/>
  <c r="BH1252" i="1"/>
  <c r="BH1253" i="1"/>
  <c r="BH1254" i="1"/>
  <c r="BH1255" i="1"/>
  <c r="BH1256" i="1"/>
  <c r="BH1257" i="1"/>
  <c r="BH1258" i="1"/>
  <c r="BH1259" i="1"/>
  <c r="BH1260" i="1"/>
  <c r="BH1261" i="1"/>
  <c r="BH1262" i="1"/>
  <c r="BH1263" i="1"/>
  <c r="BH1264" i="1"/>
  <c r="BH1265" i="1"/>
  <c r="BH1266" i="1"/>
  <c r="BH1267" i="1"/>
  <c r="BH1268" i="1"/>
  <c r="BH1269" i="1"/>
  <c r="BH1270" i="1"/>
  <c r="BH1271" i="1"/>
  <c r="BH1272" i="1"/>
  <c r="BH1273" i="1"/>
  <c r="BH1274" i="1"/>
  <c r="BH1275" i="1"/>
  <c r="BH1276" i="1"/>
  <c r="BH1277" i="1"/>
  <c r="BH1278" i="1"/>
  <c r="BH1279" i="1"/>
  <c r="BH1280" i="1"/>
  <c r="BH1281" i="1"/>
  <c r="BH1282" i="1"/>
  <c r="BH1283" i="1"/>
  <c r="BH1284" i="1"/>
  <c r="BH1285" i="1"/>
  <c r="BH1286" i="1"/>
  <c r="BH1287" i="1"/>
  <c r="BH1288" i="1"/>
  <c r="BH1289" i="1"/>
  <c r="BH1290" i="1"/>
  <c r="BH1291" i="1"/>
  <c r="BH1292" i="1"/>
  <c r="BH1293" i="1"/>
  <c r="BH1294" i="1"/>
  <c r="BH1295" i="1"/>
  <c r="BH1296" i="1"/>
  <c r="BH1297" i="1"/>
  <c r="BH1298" i="1"/>
  <c r="BH1299" i="1"/>
  <c r="BH1300" i="1"/>
  <c r="BH1301" i="1"/>
  <c r="BH1302" i="1"/>
  <c r="BH1303" i="1"/>
  <c r="BH1304" i="1"/>
  <c r="BH1305" i="1"/>
  <c r="BH1306" i="1"/>
  <c r="BH1307" i="1"/>
  <c r="BH1308" i="1"/>
  <c r="BH1309" i="1"/>
  <c r="BH1310" i="1"/>
  <c r="BH1311" i="1"/>
  <c r="BH1312" i="1"/>
  <c r="BH1313" i="1"/>
  <c r="BH1314" i="1"/>
  <c r="BH1315" i="1"/>
  <c r="BH1316" i="1"/>
  <c r="BH1317" i="1"/>
  <c r="BH1318" i="1"/>
  <c r="BH1319" i="1"/>
  <c r="BH1320" i="1"/>
  <c r="BH1321" i="1"/>
  <c r="BH1322" i="1"/>
  <c r="BH1323" i="1"/>
  <c r="BH1324" i="1"/>
  <c r="BH1325" i="1"/>
  <c r="BH1326" i="1"/>
  <c r="BH1327" i="1"/>
  <c r="BH1328" i="1"/>
  <c r="BH1329" i="1"/>
  <c r="BH1330" i="1"/>
  <c r="BH1331" i="1"/>
  <c r="BH1332" i="1"/>
  <c r="BH1333" i="1"/>
  <c r="BH1334" i="1"/>
  <c r="BH1335" i="1"/>
  <c r="BH1336" i="1"/>
  <c r="BH1337" i="1"/>
  <c r="BH1338" i="1"/>
  <c r="BH1339" i="1"/>
  <c r="BH1340" i="1"/>
  <c r="BH1341" i="1"/>
  <c r="BH1342" i="1"/>
  <c r="BH1343" i="1"/>
  <c r="BH1344" i="1"/>
  <c r="BH1345" i="1"/>
  <c r="BH1346" i="1"/>
  <c r="BH1347" i="1"/>
  <c r="BH1348" i="1"/>
  <c r="BH1349" i="1"/>
  <c r="BH1350" i="1"/>
  <c r="BH1351" i="1"/>
  <c r="BH1352" i="1"/>
  <c r="BH1353" i="1"/>
  <c r="BH1354" i="1"/>
  <c r="BH1355" i="1"/>
  <c r="BH1356" i="1"/>
  <c r="BH1357" i="1"/>
  <c r="BH1358" i="1"/>
  <c r="BH1359" i="1"/>
  <c r="BH1360" i="1"/>
  <c r="BH1361" i="1"/>
  <c r="BH1362" i="1"/>
  <c r="BH1363" i="1"/>
  <c r="BH1364" i="1"/>
  <c r="BH1365" i="1"/>
  <c r="BH1366" i="1"/>
  <c r="BH1367" i="1"/>
  <c r="BH1368" i="1"/>
  <c r="BH1369" i="1"/>
  <c r="BH1370" i="1"/>
  <c r="BH1371" i="1"/>
  <c r="BH1372" i="1"/>
  <c r="BH137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P224" i="1" s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P612" i="1" s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E1130" i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E1146" i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E1177" i="1"/>
  <c r="BE1178" i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E1194" i="1"/>
  <c r="BE1195" i="1"/>
  <c r="BE1196" i="1"/>
  <c r="BE1197" i="1"/>
  <c r="BE1198" i="1"/>
  <c r="BE1199" i="1"/>
  <c r="BE1200" i="1"/>
  <c r="BE1201" i="1"/>
  <c r="BE1202" i="1"/>
  <c r="BE1203" i="1"/>
  <c r="BE1204" i="1"/>
  <c r="BE1205" i="1"/>
  <c r="BE1206" i="1"/>
  <c r="BE1207" i="1"/>
  <c r="BE1208" i="1"/>
  <c r="BE1209" i="1"/>
  <c r="BE1210" i="1"/>
  <c r="BE1211" i="1"/>
  <c r="BE1212" i="1"/>
  <c r="BE1213" i="1"/>
  <c r="BE1214" i="1"/>
  <c r="BE1215" i="1"/>
  <c r="BE1216" i="1"/>
  <c r="BE1217" i="1"/>
  <c r="BE1218" i="1"/>
  <c r="BE1219" i="1"/>
  <c r="BE1220" i="1"/>
  <c r="BE1221" i="1"/>
  <c r="BE1222" i="1"/>
  <c r="BE1223" i="1"/>
  <c r="BE1224" i="1"/>
  <c r="BE1225" i="1"/>
  <c r="BE1226" i="1"/>
  <c r="BE1227" i="1"/>
  <c r="BE1228" i="1"/>
  <c r="BE1229" i="1"/>
  <c r="BE1230" i="1"/>
  <c r="BE1231" i="1"/>
  <c r="BE1232" i="1"/>
  <c r="BE1233" i="1"/>
  <c r="BE1234" i="1"/>
  <c r="BE1235" i="1"/>
  <c r="BE1236" i="1"/>
  <c r="BE1237" i="1"/>
  <c r="BE1238" i="1"/>
  <c r="BE1239" i="1"/>
  <c r="BE1240" i="1"/>
  <c r="BE1241" i="1"/>
  <c r="BE1242" i="1"/>
  <c r="BE1243" i="1"/>
  <c r="BE1244" i="1"/>
  <c r="BE1245" i="1"/>
  <c r="BE1246" i="1"/>
  <c r="BE1247" i="1"/>
  <c r="BE1248" i="1"/>
  <c r="BE1249" i="1"/>
  <c r="BE1250" i="1"/>
  <c r="BE1251" i="1"/>
  <c r="BE1252" i="1"/>
  <c r="BE1253" i="1"/>
  <c r="BE1254" i="1"/>
  <c r="BE1255" i="1"/>
  <c r="BE1256" i="1"/>
  <c r="BE1257" i="1"/>
  <c r="BE1258" i="1"/>
  <c r="BE1259" i="1"/>
  <c r="BE1260" i="1"/>
  <c r="BE1261" i="1"/>
  <c r="BE1262" i="1"/>
  <c r="BE1263" i="1"/>
  <c r="BE1264" i="1"/>
  <c r="BE1265" i="1"/>
  <c r="BE1266" i="1"/>
  <c r="BE1267" i="1"/>
  <c r="BE1268" i="1"/>
  <c r="BE1269" i="1"/>
  <c r="BE1270" i="1"/>
  <c r="BE1271" i="1"/>
  <c r="BE1272" i="1"/>
  <c r="BE1273" i="1"/>
  <c r="BE1274" i="1"/>
  <c r="BE1275" i="1"/>
  <c r="BE1276" i="1"/>
  <c r="BE1277" i="1"/>
  <c r="BE1278" i="1"/>
  <c r="BE1279" i="1"/>
  <c r="BE1280" i="1"/>
  <c r="BE1281" i="1"/>
  <c r="BE1282" i="1"/>
  <c r="BE1283" i="1"/>
  <c r="BE1284" i="1"/>
  <c r="BE1285" i="1"/>
  <c r="BE1286" i="1"/>
  <c r="BE1287" i="1"/>
  <c r="BE1288" i="1"/>
  <c r="BE1289" i="1"/>
  <c r="BE1290" i="1"/>
  <c r="BE1291" i="1"/>
  <c r="BE1292" i="1"/>
  <c r="BE1293" i="1"/>
  <c r="BE1294" i="1"/>
  <c r="BE1295" i="1"/>
  <c r="BE1296" i="1"/>
  <c r="BE1297" i="1"/>
  <c r="BE1298" i="1"/>
  <c r="BE1299" i="1"/>
  <c r="BE1300" i="1"/>
  <c r="BE1301" i="1"/>
  <c r="BE1302" i="1"/>
  <c r="BE1303" i="1"/>
  <c r="BE1304" i="1"/>
  <c r="BE1305" i="1"/>
  <c r="BE1306" i="1"/>
  <c r="BE1307" i="1"/>
  <c r="BE1308" i="1"/>
  <c r="BE1309" i="1"/>
  <c r="BE1310" i="1"/>
  <c r="BE1311" i="1"/>
  <c r="BE1312" i="1"/>
  <c r="BE1313" i="1"/>
  <c r="BE1314" i="1"/>
  <c r="BE1315" i="1"/>
  <c r="BE1316" i="1"/>
  <c r="BE1317" i="1"/>
  <c r="BE1318" i="1"/>
  <c r="BE1319" i="1"/>
  <c r="BE1320" i="1"/>
  <c r="BE1321" i="1"/>
  <c r="BE1322" i="1"/>
  <c r="BE1323" i="1"/>
  <c r="BE1324" i="1"/>
  <c r="BE1325" i="1"/>
  <c r="BE1326" i="1"/>
  <c r="BE1327" i="1"/>
  <c r="BE1328" i="1"/>
  <c r="BE1329" i="1"/>
  <c r="BE1330" i="1"/>
  <c r="BE1331" i="1"/>
  <c r="BE1332" i="1"/>
  <c r="BE1333" i="1"/>
  <c r="BE1334" i="1"/>
  <c r="BE1335" i="1"/>
  <c r="BE1336" i="1"/>
  <c r="BE1337" i="1"/>
  <c r="BE1338" i="1"/>
  <c r="BE1339" i="1"/>
  <c r="BE1340" i="1"/>
  <c r="BE1341" i="1"/>
  <c r="BE1342" i="1"/>
  <c r="BE1343" i="1"/>
  <c r="BE1344" i="1"/>
  <c r="BE1345" i="1"/>
  <c r="BE1346" i="1"/>
  <c r="BE1347" i="1"/>
  <c r="BE1348" i="1"/>
  <c r="BE1349" i="1"/>
  <c r="BE1350" i="1"/>
  <c r="BE1351" i="1"/>
  <c r="BE1352" i="1"/>
  <c r="BE1353" i="1"/>
  <c r="BE1354" i="1"/>
  <c r="BE1355" i="1"/>
  <c r="BE1356" i="1"/>
  <c r="BE1357" i="1"/>
  <c r="BE1358" i="1"/>
  <c r="BE1359" i="1"/>
  <c r="BE1360" i="1"/>
  <c r="BE1361" i="1"/>
  <c r="BE1362" i="1"/>
  <c r="BE1363" i="1"/>
  <c r="BE1364" i="1"/>
  <c r="BE1365" i="1"/>
  <c r="BE1366" i="1"/>
  <c r="BE1367" i="1"/>
  <c r="BE1368" i="1"/>
  <c r="BE1369" i="1"/>
  <c r="BE1370" i="1"/>
  <c r="BE1371" i="1"/>
  <c r="BE1372" i="1"/>
  <c r="BE137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P64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BP1284" i="1" l="1"/>
  <c r="BP1108" i="1"/>
  <c r="BP676" i="1"/>
  <c r="BP580" i="1"/>
  <c r="BP464" i="1"/>
  <c r="BP352" i="1"/>
  <c r="BP232" i="1"/>
  <c r="BP132" i="1"/>
  <c r="BP120" i="1"/>
  <c r="BP88" i="1"/>
  <c r="BP12" i="1"/>
  <c r="BP8" i="1"/>
  <c r="BP566" i="1"/>
  <c r="BP506" i="1"/>
  <c r="BP426" i="1"/>
  <c r="BP158" i="1"/>
  <c r="BP932" i="1"/>
  <c r="BP816" i="1"/>
  <c r="BP544" i="1"/>
  <c r="BP496" i="1"/>
  <c r="BP416" i="1"/>
  <c r="BP304" i="1"/>
  <c r="BP288" i="1"/>
  <c r="BP256" i="1"/>
  <c r="BP200" i="1"/>
  <c r="BP156" i="1"/>
  <c r="BP140" i="1"/>
  <c r="BP116" i="1"/>
  <c r="BP104" i="1"/>
  <c r="BP100" i="1"/>
  <c r="BP80" i="1"/>
  <c r="BP48" i="1"/>
  <c r="BP32" i="1"/>
  <c r="BP28" i="1"/>
  <c r="BP1370" i="1"/>
  <c r="BP1358" i="1"/>
  <c r="BP1346" i="1"/>
  <c r="BP1318" i="1"/>
  <c r="BP1298" i="1"/>
  <c r="BP1082" i="1"/>
  <c r="BP1010" i="1"/>
  <c r="BP874" i="1"/>
  <c r="BP762" i="1"/>
  <c r="BP754" i="1"/>
  <c r="BP746" i="1"/>
  <c r="BP722" i="1"/>
  <c r="BP718" i="1"/>
  <c r="BP714" i="1"/>
  <c r="BP706" i="1"/>
  <c r="BP698" i="1"/>
  <c r="BP690" i="1"/>
  <c r="BP686" i="1"/>
  <c r="BP682" i="1"/>
  <c r="BP674" i="1"/>
  <c r="BP666" i="1"/>
  <c r="BP658" i="1"/>
  <c r="BP650" i="1"/>
  <c r="BP642" i="1"/>
  <c r="BP630" i="1"/>
  <c r="BP626" i="1"/>
  <c r="BP618" i="1"/>
  <c r="BP610" i="1"/>
  <c r="BP602" i="1"/>
  <c r="BP594" i="1"/>
  <c r="BP586" i="1"/>
  <c r="BP578" i="1"/>
  <c r="BP562" i="1"/>
  <c r="BP558" i="1"/>
  <c r="BP554" i="1"/>
  <c r="BP546" i="1"/>
  <c r="BP542" i="1"/>
  <c r="BP538" i="1"/>
  <c r="BP534" i="1"/>
  <c r="BP530" i="1"/>
  <c r="BP526" i="1"/>
  <c r="BP522" i="1"/>
  <c r="BP518" i="1"/>
  <c r="BP514" i="1"/>
  <c r="BP510" i="1"/>
  <c r="BP502" i="1"/>
  <c r="BP498" i="1"/>
  <c r="BP494" i="1"/>
  <c r="BP490" i="1"/>
  <c r="BP482" i="1"/>
  <c r="BP478" i="1"/>
  <c r="BP474" i="1"/>
  <c r="BP470" i="1"/>
  <c r="BP466" i="1"/>
  <c r="BP462" i="1"/>
  <c r="BP458" i="1"/>
  <c r="BP454" i="1"/>
  <c r="BP450" i="1"/>
  <c r="BP446" i="1"/>
  <c r="BP442" i="1"/>
  <c r="BP438" i="1"/>
  <c r="BP434" i="1"/>
  <c r="BP430" i="1"/>
  <c r="BP418" i="1"/>
  <c r="BP414" i="1"/>
  <c r="BP410" i="1"/>
  <c r="BP406" i="1"/>
  <c r="BP402" i="1"/>
  <c r="BP398" i="1"/>
  <c r="BP394" i="1"/>
  <c r="BP390" i="1"/>
  <c r="BP386" i="1"/>
  <c r="BP382" i="1"/>
  <c r="BP378" i="1"/>
  <c r="BP374" i="1"/>
  <c r="BP370" i="1"/>
  <c r="BP366" i="1"/>
  <c r="BP354" i="1"/>
  <c r="BP350" i="1"/>
  <c r="BP346" i="1"/>
  <c r="BP342" i="1"/>
  <c r="BP338" i="1"/>
  <c r="BP334" i="1"/>
  <c r="BP330" i="1"/>
  <c r="BP326" i="1"/>
  <c r="BP322" i="1"/>
  <c r="BP318" i="1"/>
  <c r="BP314" i="1"/>
  <c r="BP306" i="1"/>
  <c r="BP302" i="1"/>
  <c r="BP298" i="1"/>
  <c r="BP290" i="1"/>
  <c r="BP286" i="1"/>
  <c r="BP282" i="1"/>
  <c r="BP278" i="1"/>
  <c r="BP274" i="1"/>
  <c r="BP270" i="1"/>
  <c r="BP266" i="1"/>
  <c r="BP262" i="1"/>
  <c r="BP258" i="1"/>
  <c r="BP254" i="1"/>
  <c r="BP250" i="1"/>
  <c r="BP246" i="1"/>
  <c r="BP242" i="1"/>
  <c r="BP238" i="1"/>
  <c r="BP234" i="1"/>
  <c r="BP226" i="1"/>
  <c r="BP222" i="1"/>
  <c r="BP218" i="1"/>
  <c r="BP210" i="1"/>
  <c r="BP206" i="1"/>
  <c r="BP202" i="1"/>
  <c r="BP198" i="1"/>
  <c r="BP194" i="1"/>
  <c r="BP190" i="1"/>
  <c r="BP186" i="1"/>
  <c r="BP182" i="1"/>
  <c r="BP178" i="1"/>
  <c r="BP174" i="1"/>
  <c r="BP170" i="1"/>
  <c r="BP162" i="1"/>
  <c r="BP154" i="1"/>
  <c r="BP150" i="1"/>
  <c r="BP146" i="1"/>
  <c r="BP142" i="1"/>
  <c r="BP138" i="1"/>
  <c r="BP134" i="1"/>
  <c r="BP130" i="1"/>
  <c r="BP126" i="1"/>
  <c r="BP122" i="1"/>
  <c r="BP118" i="1"/>
  <c r="BP114" i="1"/>
  <c r="BP106" i="1"/>
  <c r="BP102" i="1"/>
  <c r="BP98" i="1"/>
  <c r="BP94" i="1"/>
  <c r="BP90" i="1"/>
  <c r="BP209" i="1"/>
  <c r="BP86" i="1"/>
  <c r="BP82" i="1"/>
  <c r="BP78" i="1"/>
  <c r="BP74" i="1"/>
  <c r="BP70" i="1"/>
  <c r="BP66" i="1"/>
  <c r="BP62" i="1"/>
  <c r="BP58" i="1"/>
  <c r="BP54" i="1"/>
  <c r="BP50" i="1"/>
  <c r="BP46" i="1"/>
  <c r="BP42" i="1"/>
  <c r="BP38" i="1"/>
  <c r="BP34" i="1"/>
  <c r="BP26" i="1"/>
  <c r="BP22" i="1"/>
  <c r="BP18" i="1"/>
  <c r="BP14" i="1"/>
  <c r="BP10" i="1"/>
  <c r="BP6" i="1"/>
  <c r="BP1268" i="1"/>
  <c r="BP1192" i="1"/>
  <c r="BP1180" i="1"/>
  <c r="BP988" i="1"/>
  <c r="BP976" i="1"/>
  <c r="BP916" i="1"/>
  <c r="BP852" i="1"/>
  <c r="BP804" i="1"/>
  <c r="BP736" i="1"/>
  <c r="BP708" i="1"/>
  <c r="BP704" i="1"/>
  <c r="BP660" i="1"/>
  <c r="BP656" i="1"/>
  <c r="BP640" i="1"/>
  <c r="BP628" i="1"/>
  <c r="BP608" i="1"/>
  <c r="BP596" i="1"/>
  <c r="BP592" i="1"/>
  <c r="BP576" i="1"/>
  <c r="BP564" i="1"/>
  <c r="BP560" i="1"/>
  <c r="BP528" i="1"/>
  <c r="BP512" i="1"/>
  <c r="BP480" i="1"/>
  <c r="BP448" i="1"/>
  <c r="BP432" i="1"/>
  <c r="BP400" i="1"/>
  <c r="BP384" i="1"/>
  <c r="BP368" i="1"/>
  <c r="BP336" i="1"/>
  <c r="BP328" i="1"/>
  <c r="BP320" i="1"/>
  <c r="BP296" i="1"/>
  <c r="BP280" i="1"/>
  <c r="BP272" i="1"/>
  <c r="BP264" i="1"/>
  <c r="BP248" i="1"/>
  <c r="BP240" i="1"/>
  <c r="BP216" i="1"/>
  <c r="BP208" i="1"/>
  <c r="BP160" i="1"/>
  <c r="BP152" i="1"/>
  <c r="BP148" i="1"/>
  <c r="BP144" i="1"/>
  <c r="BP136" i="1"/>
  <c r="BP128" i="1"/>
  <c r="BP124" i="1"/>
  <c r="BP112" i="1"/>
  <c r="BP108" i="1"/>
  <c r="BP96" i="1"/>
  <c r="BP92" i="1"/>
  <c r="BP84" i="1"/>
  <c r="BP76" i="1"/>
  <c r="BP72" i="1"/>
  <c r="BP68" i="1"/>
  <c r="BP60" i="1"/>
  <c r="BP56" i="1"/>
  <c r="BP52" i="1"/>
  <c r="BP44" i="1"/>
  <c r="BP40" i="1"/>
  <c r="BP36" i="1"/>
  <c r="BP24" i="1"/>
  <c r="BP20" i="1"/>
  <c r="BP16" i="1"/>
  <c r="BP4" i="1"/>
  <c r="BP1342" i="1"/>
  <c r="BP938" i="1"/>
  <c r="BP358" i="1"/>
  <c r="BP214" i="1"/>
  <c r="BP1372" i="1"/>
  <c r="BP1368" i="1"/>
  <c r="BP1360" i="1"/>
  <c r="BP1356" i="1"/>
  <c r="BP1348" i="1"/>
  <c r="BP1340" i="1"/>
  <c r="BP1336" i="1"/>
  <c r="BP1328" i="1"/>
  <c r="BP1308" i="1"/>
  <c r="BP1304" i="1"/>
  <c r="BP1300" i="1"/>
  <c r="BP1296" i="1"/>
  <c r="BP1292" i="1"/>
  <c r="BP1276" i="1"/>
  <c r="BP1272" i="1"/>
  <c r="BP1264" i="1"/>
  <c r="BP1260" i="1"/>
  <c r="BP1252" i="1"/>
  <c r="BP1244" i="1"/>
  <c r="BP1240" i="1"/>
  <c r="BP1216" i="1"/>
  <c r="BP1140" i="1"/>
  <c r="BP1120" i="1"/>
  <c r="BP1064" i="1"/>
  <c r="BP1032" i="1"/>
  <c r="BP964" i="1"/>
  <c r="BP900" i="1"/>
  <c r="BP884" i="1"/>
  <c r="BP848" i="1"/>
  <c r="BP840" i="1"/>
  <c r="BP788" i="1"/>
  <c r="BP776" i="1"/>
  <c r="BP1254" i="1"/>
  <c r="BP1098" i="1"/>
  <c r="BP1046" i="1"/>
  <c r="BP906" i="1"/>
  <c r="BP902" i="1"/>
  <c r="BP730" i="1"/>
  <c r="BP634" i="1"/>
  <c r="BP570" i="1"/>
  <c r="BP550" i="1"/>
  <c r="BP486" i="1"/>
  <c r="BP422" i="1"/>
  <c r="BP362" i="1"/>
  <c r="BP310" i="1"/>
  <c r="BP294" i="1"/>
  <c r="BP230" i="1"/>
  <c r="BP166" i="1"/>
  <c r="BP110" i="1"/>
  <c r="BP30" i="1"/>
  <c r="BP1322" i="1"/>
  <c r="BP1290" i="1"/>
  <c r="BP1234" i="1"/>
  <c r="BP1236" i="1"/>
  <c r="BP1228" i="1"/>
  <c r="BP1224" i="1"/>
  <c r="BP1212" i="1"/>
  <c r="BP1208" i="1"/>
  <c r="BP1204" i="1"/>
  <c r="BP1196" i="1"/>
  <c r="BP1184" i="1"/>
  <c r="BP1172" i="1"/>
  <c r="BP1168" i="1"/>
  <c r="BP1160" i="1"/>
  <c r="BP1156" i="1"/>
  <c r="BP1152" i="1"/>
  <c r="BP1148" i="1"/>
  <c r="BP1136" i="1"/>
  <c r="BP1128" i="1"/>
  <c r="BP1124" i="1"/>
  <c r="BP1116" i="1"/>
  <c r="BP1112" i="1"/>
  <c r="BP1100" i="1"/>
  <c r="BP1096" i="1"/>
  <c r="BP1088" i="1"/>
  <c r="BP1084" i="1"/>
  <c r="BP1080" i="1"/>
  <c r="BP1076" i="1"/>
  <c r="BP1068" i="1"/>
  <c r="BP1056" i="1"/>
  <c r="BP1052" i="1"/>
  <c r="BP1044" i="1"/>
  <c r="BP1040" i="1"/>
  <c r="BP1028" i="1"/>
  <c r="BP1024" i="1"/>
  <c r="BP1020" i="1"/>
  <c r="BP1012" i="1"/>
  <c r="BP1008" i="1"/>
  <c r="BP1004" i="1"/>
  <c r="BP1000" i="1"/>
  <c r="BP996" i="1"/>
  <c r="BP992" i="1"/>
  <c r="BP984" i="1"/>
  <c r="BP980" i="1"/>
  <c r="BP972" i="1"/>
  <c r="BP968" i="1"/>
  <c r="BP960" i="1"/>
  <c r="BP956" i="1"/>
  <c r="BP952" i="1"/>
  <c r="BP948" i="1"/>
  <c r="BP944" i="1"/>
  <c r="BP940" i="1"/>
  <c r="BP936" i="1"/>
  <c r="BP928" i="1"/>
  <c r="BP924" i="1"/>
  <c r="BP920" i="1"/>
  <c r="BP912" i="1"/>
  <c r="BP908" i="1"/>
  <c r="BP904" i="1"/>
  <c r="BP896" i="1"/>
  <c r="BP892" i="1"/>
  <c r="BP888" i="1"/>
  <c r="BP880" i="1"/>
  <c r="BP876" i="1"/>
  <c r="BP872" i="1"/>
  <c r="BP868" i="1"/>
  <c r="BP864" i="1"/>
  <c r="BP860" i="1"/>
  <c r="BP856" i="1"/>
  <c r="BP844" i="1"/>
  <c r="BP836" i="1"/>
  <c r="BP832" i="1"/>
  <c r="BP828" i="1"/>
  <c r="BP824" i="1"/>
  <c r="BP820" i="1"/>
  <c r="BP812" i="1"/>
  <c r="BP808" i="1"/>
  <c r="BP800" i="1"/>
  <c r="BP796" i="1"/>
  <c r="BP792" i="1"/>
  <c r="BP784" i="1"/>
  <c r="BP780" i="1"/>
  <c r="BP772" i="1"/>
  <c r="BP768" i="1"/>
  <c r="BP764" i="1"/>
  <c r="BP760" i="1"/>
  <c r="BP756" i="1"/>
  <c r="BP672" i="1"/>
  <c r="BP752" i="1"/>
  <c r="BP748" i="1"/>
  <c r="BP744" i="1"/>
  <c r="BP740" i="1"/>
  <c r="BP732" i="1"/>
  <c r="BP728" i="1"/>
  <c r="BP724" i="1"/>
  <c r="BP720" i="1"/>
  <c r="BP716" i="1"/>
  <c r="BP712" i="1"/>
  <c r="BP700" i="1"/>
  <c r="BP696" i="1"/>
  <c r="BP692" i="1"/>
  <c r="BP688" i="1"/>
  <c r="BP684" i="1"/>
  <c r="BP680" i="1"/>
  <c r="BP668" i="1"/>
  <c r="BP664" i="1"/>
  <c r="BP652" i="1"/>
  <c r="BP648" i="1"/>
  <c r="BP644" i="1"/>
  <c r="BP636" i="1"/>
  <c r="BP632" i="1"/>
  <c r="BP624" i="1"/>
  <c r="BP620" i="1"/>
  <c r="BP616" i="1"/>
  <c r="BP604" i="1"/>
  <c r="BP600" i="1"/>
  <c r="BP588" i="1"/>
  <c r="BP584" i="1"/>
  <c r="BP572" i="1"/>
  <c r="BP568" i="1"/>
  <c r="BP556" i="1"/>
  <c r="BP552" i="1"/>
  <c r="BP548" i="1"/>
  <c r="BP540" i="1"/>
  <c r="BP536" i="1"/>
  <c r="BP532" i="1"/>
  <c r="BP524" i="1"/>
  <c r="BP520" i="1"/>
  <c r="BP516" i="1"/>
  <c r="BP508" i="1"/>
  <c r="BP504" i="1"/>
  <c r="BP500" i="1"/>
  <c r="BP492" i="1"/>
  <c r="BP488" i="1"/>
  <c r="BP484" i="1"/>
  <c r="BP476" i="1"/>
  <c r="BP472" i="1"/>
  <c r="BP468" i="1"/>
  <c r="BP460" i="1"/>
  <c r="BP456" i="1"/>
  <c r="BP452" i="1"/>
  <c r="BP444" i="1"/>
  <c r="BP440" i="1"/>
  <c r="BP436" i="1"/>
  <c r="BP428" i="1"/>
  <c r="BP424" i="1"/>
  <c r="BP420" i="1"/>
  <c r="BP412" i="1"/>
  <c r="BP408" i="1"/>
  <c r="BP404" i="1"/>
  <c r="BP396" i="1"/>
  <c r="BP392" i="1"/>
  <c r="BP388" i="1"/>
  <c r="BP380" i="1"/>
  <c r="BP376" i="1"/>
  <c r="BP372" i="1"/>
  <c r="BP360" i="1"/>
  <c r="BP344" i="1"/>
  <c r="BP312" i="1"/>
  <c r="BP236" i="1"/>
  <c r="BP228" i="1"/>
  <c r="BP220" i="1"/>
  <c r="BP212" i="1"/>
  <c r="BP204" i="1"/>
  <c r="BP196" i="1"/>
  <c r="BP192" i="1"/>
  <c r="BP188" i="1"/>
  <c r="BP184" i="1"/>
  <c r="BP180" i="1"/>
  <c r="BP176" i="1"/>
  <c r="BP172" i="1"/>
  <c r="BP168" i="1"/>
  <c r="BP164" i="1"/>
  <c r="BP1334" i="1"/>
  <c r="BP1310" i="1"/>
  <c r="BP1286" i="1"/>
  <c r="BP1278" i="1"/>
  <c r="BP1266" i="1"/>
  <c r="BP1258" i="1"/>
  <c r="BP1246" i="1"/>
  <c r="BP1238" i="1"/>
  <c r="BP1230" i="1"/>
  <c r="BP1226" i="1"/>
  <c r="BP1222" i="1"/>
  <c r="BP1218" i="1"/>
  <c r="BP1214" i="1"/>
  <c r="BP1210" i="1"/>
  <c r="BP1206" i="1"/>
  <c r="BP1198" i="1"/>
  <c r="BP1194" i="1"/>
  <c r="BP1190" i="1"/>
  <c r="BP1186" i="1"/>
  <c r="BP1182" i="1"/>
  <c r="BP1178" i="1"/>
  <c r="BP1174" i="1"/>
  <c r="BP1166" i="1"/>
  <c r="BP1158" i="1"/>
  <c r="BP1154" i="1"/>
  <c r="BP1150" i="1"/>
  <c r="BP1142" i="1"/>
  <c r="BP1138" i="1"/>
  <c r="BP1134" i="1"/>
  <c r="BP1126" i="1"/>
  <c r="BP1122" i="1"/>
  <c r="BP1118" i="1"/>
  <c r="BP1110" i="1"/>
  <c r="BP1106" i="1"/>
  <c r="BP1102" i="1"/>
  <c r="BP1094" i="1"/>
  <c r="BP1090" i="1"/>
  <c r="BP1086" i="1"/>
  <c r="BP1078" i="1"/>
  <c r="BP1070" i="1"/>
  <c r="BP1066" i="1"/>
  <c r="BP1062" i="1"/>
  <c r="BP1058" i="1"/>
  <c r="BP1054" i="1"/>
  <c r="BP1050" i="1"/>
  <c r="BP1038" i="1"/>
  <c r="BP1030" i="1"/>
  <c r="BP1026" i="1"/>
  <c r="BP1022" i="1"/>
  <c r="BP1014" i="1"/>
  <c r="BP1006" i="1"/>
  <c r="BP998" i="1"/>
  <c r="BP994" i="1"/>
  <c r="BP990" i="1"/>
  <c r="BP982" i="1"/>
  <c r="BP978" i="1"/>
  <c r="BP974" i="1"/>
  <c r="BP966" i="1"/>
  <c r="BP962" i="1"/>
  <c r="BP958" i="1"/>
  <c r="BP954" i="1"/>
  <c r="BP950" i="1"/>
  <c r="BP942" i="1"/>
  <c r="BP934" i="1"/>
  <c r="BP930" i="1"/>
  <c r="BP926" i="1"/>
  <c r="BP922" i="1"/>
  <c r="BP918" i="1"/>
  <c r="BP910" i="1"/>
  <c r="BP898" i="1"/>
  <c r="BP894" i="1"/>
  <c r="BP890" i="1"/>
  <c r="BP886" i="1"/>
  <c r="BP882" i="1"/>
  <c r="BP878" i="1"/>
  <c r="BP870" i="1"/>
  <c r="BP866" i="1"/>
  <c r="BP862" i="1"/>
  <c r="BP858" i="1"/>
  <c r="BP854" i="1"/>
  <c r="BP850" i="1"/>
  <c r="BP846" i="1"/>
  <c r="BP842" i="1"/>
  <c r="BP838" i="1"/>
  <c r="BP834" i="1"/>
  <c r="BP830" i="1"/>
  <c r="BP826" i="1"/>
  <c r="BP822" i="1"/>
  <c r="BP818" i="1"/>
  <c r="BP814" i="1"/>
  <c r="BP810" i="1"/>
  <c r="BP806" i="1"/>
  <c r="BP802" i="1"/>
  <c r="BP798" i="1"/>
  <c r="BP794" i="1"/>
  <c r="BP790" i="1"/>
  <c r="BP786" i="1"/>
  <c r="BP782" i="1"/>
  <c r="BP778" i="1"/>
  <c r="BP774" i="1"/>
  <c r="BP770" i="1"/>
  <c r="BP766" i="1"/>
  <c r="BP758" i="1"/>
  <c r="BP750" i="1"/>
  <c r="BP742" i="1"/>
  <c r="BP738" i="1"/>
  <c r="BP734" i="1"/>
  <c r="BP710" i="1"/>
  <c r="BP678" i="1"/>
  <c r="BP662" i="1"/>
  <c r="BP646" i="1"/>
  <c r="BP614" i="1"/>
  <c r="BP598" i="1"/>
  <c r="BP582" i="1"/>
  <c r="BP364" i="1"/>
  <c r="BP356" i="1"/>
  <c r="BP348" i="1"/>
  <c r="BP340" i="1"/>
  <c r="BP332" i="1"/>
  <c r="BP324" i="1"/>
  <c r="BP316" i="1"/>
  <c r="BP308" i="1"/>
  <c r="BP300" i="1"/>
  <c r="BP292" i="1"/>
  <c r="BP284" i="1"/>
  <c r="BP276" i="1"/>
  <c r="BP268" i="1"/>
  <c r="BP260" i="1"/>
  <c r="BP252" i="1"/>
  <c r="BP244" i="1"/>
  <c r="BP726" i="1"/>
  <c r="BP702" i="1"/>
  <c r="BP694" i="1"/>
  <c r="BP670" i="1"/>
  <c r="BP654" i="1"/>
  <c r="BP638" i="1"/>
  <c r="BP622" i="1"/>
  <c r="BP606" i="1"/>
  <c r="BP590" i="1"/>
  <c r="BP574" i="1"/>
  <c r="BP1362" i="1"/>
  <c r="BP1350" i="1"/>
  <c r="BP1330" i="1"/>
  <c r="BP1366" i="1"/>
  <c r="BP1354" i="1"/>
  <c r="BP1338" i="1"/>
  <c r="BP1326" i="1"/>
  <c r="BP1314" i="1"/>
  <c r="BP1306" i="1"/>
  <c r="BP1302" i="1"/>
  <c r="BP1294" i="1"/>
  <c r="BP1282" i="1"/>
  <c r="BP1274" i="1"/>
  <c r="BP1270" i="1"/>
  <c r="BP1262" i="1"/>
  <c r="BP1250" i="1"/>
  <c r="BP1242" i="1"/>
  <c r="BP1202" i="1"/>
  <c r="BP1170" i="1"/>
  <c r="BP1162" i="1"/>
  <c r="BP1146" i="1"/>
  <c r="BP1130" i="1"/>
  <c r="BP1114" i="1"/>
  <c r="BP1074" i="1"/>
  <c r="BP1042" i="1"/>
  <c r="BP1034" i="1"/>
  <c r="BP1018" i="1"/>
  <c r="BP1002" i="1"/>
  <c r="BP986" i="1"/>
  <c r="BP970" i="1"/>
  <c r="BP946" i="1"/>
  <c r="BP914" i="1"/>
  <c r="BP1364" i="1"/>
  <c r="BP1352" i="1"/>
  <c r="BP1344" i="1"/>
  <c r="BP1332" i="1"/>
  <c r="BP1324" i="1"/>
  <c r="BP1320" i="1"/>
  <c r="BP1316" i="1"/>
  <c r="BP1312" i="1"/>
  <c r="BP1288" i="1"/>
  <c r="BP1280" i="1"/>
  <c r="BP1256" i="1"/>
  <c r="BP1248" i="1"/>
  <c r="BP1232" i="1"/>
  <c r="BP1220" i="1"/>
  <c r="BP1200" i="1"/>
  <c r="BP1188" i="1"/>
  <c r="BP1176" i="1"/>
  <c r="BP1164" i="1"/>
  <c r="BP1144" i="1"/>
  <c r="BP1132" i="1"/>
  <c r="BP1104" i="1"/>
  <c r="BP1092" i="1"/>
  <c r="BP1072" i="1"/>
  <c r="BP1060" i="1"/>
  <c r="BP1048" i="1"/>
  <c r="BP1036" i="1"/>
  <c r="BP1016" i="1"/>
  <c r="AI57" i="10"/>
  <c r="AE57" i="10"/>
  <c r="AC57" i="10"/>
  <c r="AH57" i="10"/>
  <c r="AB57" i="10"/>
  <c r="AG57" i="10"/>
  <c r="AD57" i="10"/>
  <c r="AA57" i="10"/>
  <c r="J57" i="10"/>
  <c r="AF57" i="10"/>
  <c r="K57" i="10"/>
  <c r="H57" i="10"/>
  <c r="H76" i="10" s="1"/>
  <c r="N57" i="10"/>
  <c r="R57" i="10"/>
  <c r="V57" i="10"/>
  <c r="O57" i="10"/>
  <c r="S57" i="10"/>
  <c r="W57" i="10"/>
  <c r="I16" i="10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Q57" i="10"/>
  <c r="U57" i="10"/>
  <c r="L57" i="10"/>
  <c r="P57" i="10"/>
  <c r="T57" i="10"/>
  <c r="M57" i="10"/>
  <c r="I57" i="10"/>
  <c r="BP1365" i="1"/>
  <c r="BP1353" i="1"/>
  <c r="BP1341" i="1"/>
  <c r="BP1325" i="1"/>
  <c r="BP1317" i="1"/>
  <c r="BP1305" i="1"/>
  <c r="BP1293" i="1"/>
  <c r="BP1281" i="1"/>
  <c r="BP1269" i="1"/>
  <c r="BP1257" i="1"/>
  <c r="BP1245" i="1"/>
  <c r="BP1233" i="1"/>
  <c r="BP1221" i="1"/>
  <c r="BP1209" i="1"/>
  <c r="BP1193" i="1"/>
  <c r="BP1181" i="1"/>
  <c r="BP1169" i="1"/>
  <c r="BP1161" i="1"/>
  <c r="BP1149" i="1"/>
  <c r="BP1137" i="1"/>
  <c r="BP1125" i="1"/>
  <c r="BP1109" i="1"/>
  <c r="BP1101" i="1"/>
  <c r="BP1085" i="1"/>
  <c r="BP1073" i="1"/>
  <c r="BP1061" i="1"/>
  <c r="BP1049" i="1"/>
  <c r="BP1037" i="1"/>
  <c r="BP1025" i="1"/>
  <c r="BP1017" i="1"/>
  <c r="BP1005" i="1"/>
  <c r="BP993" i="1"/>
  <c r="BP981" i="1"/>
  <c r="BP973" i="1"/>
  <c r="BP961" i="1"/>
  <c r="BP949" i="1"/>
  <c r="BP937" i="1"/>
  <c r="BP925" i="1"/>
  <c r="BP913" i="1"/>
  <c r="BP901" i="1"/>
  <c r="BP889" i="1"/>
  <c r="BP877" i="1"/>
  <c r="BP865" i="1"/>
  <c r="BP853" i="1"/>
  <c r="BP841" i="1"/>
  <c r="BP829" i="1"/>
  <c r="BP817" i="1"/>
  <c r="BP801" i="1"/>
  <c r="BP789" i="1"/>
  <c r="BP777" i="1"/>
  <c r="BP765" i="1"/>
  <c r="BP753" i="1"/>
  <c r="BP741" i="1"/>
  <c r="BP729" i="1"/>
  <c r="BP717" i="1"/>
  <c r="BP705" i="1"/>
  <c r="BP693" i="1"/>
  <c r="BP681" i="1"/>
  <c r="BP673" i="1"/>
  <c r="BP661" i="1"/>
  <c r="BP649" i="1"/>
  <c r="BP641" i="1"/>
  <c r="BP629" i="1"/>
  <c r="BP617" i="1"/>
  <c r="BP605" i="1"/>
  <c r="BP593" i="1"/>
  <c r="BP577" i="1"/>
  <c r="BP565" i="1"/>
  <c r="BP553" i="1"/>
  <c r="BP541" i="1"/>
  <c r="BP529" i="1"/>
  <c r="BP517" i="1"/>
  <c r="BP509" i="1"/>
  <c r="BP493" i="1"/>
  <c r="BP481" i="1"/>
  <c r="BP469" i="1"/>
  <c r="BP461" i="1"/>
  <c r="BP449" i="1"/>
  <c r="BP437" i="1"/>
  <c r="BP425" i="1"/>
  <c r="BP413" i="1"/>
  <c r="BP401" i="1"/>
  <c r="BP389" i="1"/>
  <c r="BP377" i="1"/>
  <c r="BP365" i="1"/>
  <c r="BP353" i="1"/>
  <c r="BP341" i="1"/>
  <c r="BP333" i="1"/>
  <c r="BP321" i="1"/>
  <c r="BP309" i="1"/>
  <c r="BP297" i="1"/>
  <c r="BP285" i="1"/>
  <c r="BP273" i="1"/>
  <c r="BP261" i="1"/>
  <c r="BP249" i="1"/>
  <c r="BP241" i="1"/>
  <c r="BP225" i="1"/>
  <c r="BP217" i="1"/>
  <c r="BP201" i="1"/>
  <c r="BP189" i="1"/>
  <c r="BP1363" i="1"/>
  <c r="BP1347" i="1"/>
  <c r="BP1339" i="1"/>
  <c r="BP1323" i="1"/>
  <c r="BP1315" i="1"/>
  <c r="BP1303" i="1"/>
  <c r="BP1287" i="1"/>
  <c r="BP1275" i="1"/>
  <c r="BP1263" i="1"/>
  <c r="BP1251" i="1"/>
  <c r="BP1243" i="1"/>
  <c r="BP1231" i="1"/>
  <c r="BP1223" i="1"/>
  <c r="BP1215" i="1"/>
  <c r="BP1207" i="1"/>
  <c r="BP1199" i="1"/>
  <c r="BP1195" i="1"/>
  <c r="BP1187" i="1"/>
  <c r="BP1179" i="1"/>
  <c r="BP1167" i="1"/>
  <c r="BP1159" i="1"/>
  <c r="BP1147" i="1"/>
  <c r="BP1139" i="1"/>
  <c r="BP1131" i="1"/>
  <c r="BP1123" i="1"/>
  <c r="BP1115" i="1"/>
  <c r="BP1107" i="1"/>
  <c r="BP1103" i="1"/>
  <c r="BP1095" i="1"/>
  <c r="BP1087" i="1"/>
  <c r="BP1079" i="1"/>
  <c r="BP1071" i="1"/>
  <c r="BP1063" i="1"/>
  <c r="BP1055" i="1"/>
  <c r="BP1047" i="1"/>
  <c r="BP1039" i="1"/>
  <c r="BP1031" i="1"/>
  <c r="BP1023" i="1"/>
  <c r="BP1015" i="1"/>
  <c r="BP1007" i="1"/>
  <c r="BP999" i="1"/>
  <c r="BP991" i="1"/>
  <c r="BP983" i="1"/>
  <c r="BP1373" i="1"/>
  <c r="BP1361" i="1"/>
  <c r="BP1349" i="1"/>
  <c r="BP1337" i="1"/>
  <c r="BP1329" i="1"/>
  <c r="BP1313" i="1"/>
  <c r="BP1301" i="1"/>
  <c r="BP1289" i="1"/>
  <c r="BP1277" i="1"/>
  <c r="BP1265" i="1"/>
  <c r="BP1253" i="1"/>
  <c r="BP1241" i="1"/>
  <c r="BP1229" i="1"/>
  <c r="BP1217" i="1"/>
  <c r="BP1205" i="1"/>
  <c r="BP1197" i="1"/>
  <c r="BP1185" i="1"/>
  <c r="BP1173" i="1"/>
  <c r="BP1157" i="1"/>
  <c r="BP1145" i="1"/>
  <c r="BP1133" i="1"/>
  <c r="BP1121" i="1"/>
  <c r="BP1113" i="1"/>
  <c r="BP1097" i="1"/>
  <c r="BP1089" i="1"/>
  <c r="BP1077" i="1"/>
  <c r="BP1065" i="1"/>
  <c r="BP1053" i="1"/>
  <c r="BP1041" i="1"/>
  <c r="BP1029" i="1"/>
  <c r="BP1013" i="1"/>
  <c r="BP1001" i="1"/>
  <c r="BP989" i="1"/>
  <c r="BP977" i="1"/>
  <c r="BP965" i="1"/>
  <c r="BP957" i="1"/>
  <c r="BP945" i="1"/>
  <c r="BP933" i="1"/>
  <c r="BP921" i="1"/>
  <c r="BP909" i="1"/>
  <c r="BP897" i="1"/>
  <c r="BP885" i="1"/>
  <c r="BP873" i="1"/>
  <c r="BP861" i="1"/>
  <c r="BP849" i="1"/>
  <c r="BP837" i="1"/>
  <c r="BP825" i="1"/>
  <c r="BP813" i="1"/>
  <c r="BP805" i="1"/>
  <c r="BP793" i="1"/>
  <c r="BP781" i="1"/>
  <c r="BP769" i="1"/>
  <c r="BP757" i="1"/>
  <c r="BP745" i="1"/>
  <c r="BP733" i="1"/>
  <c r="BP721" i="1"/>
  <c r="BP709" i="1"/>
  <c r="BP697" i="1"/>
  <c r="BP685" i="1"/>
  <c r="BP669" i="1"/>
  <c r="BP657" i="1"/>
  <c r="BP645" i="1"/>
  <c r="BP633" i="1"/>
  <c r="BP625" i="1"/>
  <c r="BP613" i="1"/>
  <c r="BP601" i="1"/>
  <c r="BP589" i="1"/>
  <c r="BP581" i="1"/>
  <c r="BP569" i="1"/>
  <c r="BP557" i="1"/>
  <c r="BP545" i="1"/>
  <c r="BP533" i="1"/>
  <c r="BP521" i="1"/>
  <c r="BP505" i="1"/>
  <c r="BP497" i="1"/>
  <c r="BP485" i="1"/>
  <c r="BP473" i="1"/>
  <c r="BP457" i="1"/>
  <c r="BP445" i="1"/>
  <c r="BP433" i="1"/>
  <c r="BP421" i="1"/>
  <c r="BP409" i="1"/>
  <c r="BP397" i="1"/>
  <c r="BP385" i="1"/>
  <c r="BP373" i="1"/>
  <c r="BP361" i="1"/>
  <c r="BP349" i="1"/>
  <c r="BP337" i="1"/>
  <c r="BP325" i="1"/>
  <c r="BP313" i="1"/>
  <c r="BP301" i="1"/>
  <c r="BP289" i="1"/>
  <c r="BP277" i="1"/>
  <c r="BP265" i="1"/>
  <c r="BP253" i="1"/>
  <c r="BP237" i="1"/>
  <c r="BP229" i="1"/>
  <c r="BP213" i="1"/>
  <c r="BP205" i="1"/>
  <c r="BP193" i="1"/>
  <c r="BP85" i="1"/>
  <c r="BP1367" i="1"/>
  <c r="BP1351" i="1"/>
  <c r="BP1335" i="1"/>
  <c r="BP1327" i="1"/>
  <c r="BP1319" i="1"/>
  <c r="BP1307" i="1"/>
  <c r="BP1295" i="1"/>
  <c r="BP1291" i="1"/>
  <c r="BP1279" i="1"/>
  <c r="BP1267" i="1"/>
  <c r="BP1259" i="1"/>
  <c r="BP1247" i="1"/>
  <c r="BP1235" i="1"/>
  <c r="BP1227" i="1"/>
  <c r="BP1219" i="1"/>
  <c r="BP1211" i="1"/>
  <c r="BP1203" i="1"/>
  <c r="BP1191" i="1"/>
  <c r="BP1183" i="1"/>
  <c r="BP1175" i="1"/>
  <c r="BP1171" i="1"/>
  <c r="BP1163" i="1"/>
  <c r="BP1151" i="1"/>
  <c r="BP1143" i="1"/>
  <c r="BP1135" i="1"/>
  <c r="BP1127" i="1"/>
  <c r="BP1119" i="1"/>
  <c r="BP1111" i="1"/>
  <c r="BP1099" i="1"/>
  <c r="BP1091" i="1"/>
  <c r="BP1083" i="1"/>
  <c r="BP1075" i="1"/>
  <c r="BP1067" i="1"/>
  <c r="BP1059" i="1"/>
  <c r="BP1051" i="1"/>
  <c r="BP1043" i="1"/>
  <c r="BP1035" i="1"/>
  <c r="BP1027" i="1"/>
  <c r="BP1019" i="1"/>
  <c r="BP1011" i="1"/>
  <c r="BP1003" i="1"/>
  <c r="BP995" i="1"/>
  <c r="BP987" i="1"/>
  <c r="BP1369" i="1"/>
  <c r="BP1357" i="1"/>
  <c r="BP1345" i="1"/>
  <c r="BP1333" i="1"/>
  <c r="BP1321" i="1"/>
  <c r="BP1309" i="1"/>
  <c r="BP1297" i="1"/>
  <c r="BP1285" i="1"/>
  <c r="BP1273" i="1"/>
  <c r="BP1261" i="1"/>
  <c r="BP1249" i="1"/>
  <c r="BP1237" i="1"/>
  <c r="BP1225" i="1"/>
  <c r="BP1213" i="1"/>
  <c r="BP1201" i="1"/>
  <c r="BP1189" i="1"/>
  <c r="BP1177" i="1"/>
  <c r="BP1165" i="1"/>
  <c r="BP1153" i="1"/>
  <c r="BP1141" i="1"/>
  <c r="BP1129" i="1"/>
  <c r="BP1117" i="1"/>
  <c r="BP1105" i="1"/>
  <c r="BP1093" i="1"/>
  <c r="BP1081" i="1"/>
  <c r="BP1069" i="1"/>
  <c r="BP1057" i="1"/>
  <c r="BP1045" i="1"/>
  <c r="BP1033" i="1"/>
  <c r="BP1021" i="1"/>
  <c r="BP1009" i="1"/>
  <c r="BP997" i="1"/>
  <c r="BP985" i="1"/>
  <c r="BP969" i="1"/>
  <c r="BP953" i="1"/>
  <c r="BP941" i="1"/>
  <c r="BP929" i="1"/>
  <c r="BP917" i="1"/>
  <c r="BP905" i="1"/>
  <c r="BP893" i="1"/>
  <c r="BP881" i="1"/>
  <c r="BP869" i="1"/>
  <c r="BP857" i="1"/>
  <c r="BP845" i="1"/>
  <c r="BP833" i="1"/>
  <c r="BP821" i="1"/>
  <c r="BP809" i="1"/>
  <c r="BP797" i="1"/>
  <c r="BP785" i="1"/>
  <c r="BP773" i="1"/>
  <c r="BP761" i="1"/>
  <c r="BP749" i="1"/>
  <c r="BP737" i="1"/>
  <c r="BP725" i="1"/>
  <c r="BP713" i="1"/>
  <c r="BP701" i="1"/>
  <c r="BP689" i="1"/>
  <c r="BP677" i="1"/>
  <c r="BP665" i="1"/>
  <c r="BP653" i="1"/>
  <c r="BP637" i="1"/>
  <c r="BP621" i="1"/>
  <c r="BP609" i="1"/>
  <c r="BP597" i="1"/>
  <c r="BP585" i="1"/>
  <c r="BP573" i="1"/>
  <c r="BP561" i="1"/>
  <c r="BP549" i="1"/>
  <c r="BP537" i="1"/>
  <c r="BP525" i="1"/>
  <c r="BP513" i="1"/>
  <c r="BP501" i="1"/>
  <c r="BP489" i="1"/>
  <c r="BP477" i="1"/>
  <c r="BP465" i="1"/>
  <c r="BP453" i="1"/>
  <c r="BP441" i="1"/>
  <c r="BP429" i="1"/>
  <c r="BP417" i="1"/>
  <c r="BP405" i="1"/>
  <c r="BP393" i="1"/>
  <c r="BP381" i="1"/>
  <c r="BP369" i="1"/>
  <c r="BP357" i="1"/>
  <c r="BP345" i="1"/>
  <c r="BP329" i="1"/>
  <c r="BP317" i="1"/>
  <c r="BP305" i="1"/>
  <c r="BP293" i="1"/>
  <c r="BP281" i="1"/>
  <c r="BP269" i="1"/>
  <c r="BP257" i="1"/>
  <c r="BP245" i="1"/>
  <c r="BP233" i="1"/>
  <c r="BP221" i="1"/>
  <c r="BP197" i="1"/>
  <c r="BP1371" i="1"/>
  <c r="BP1359" i="1"/>
  <c r="BP1355" i="1"/>
  <c r="BP1343" i="1"/>
  <c r="BP1331" i="1"/>
  <c r="BP1311" i="1"/>
  <c r="BP1299" i="1"/>
  <c r="BP1283" i="1"/>
  <c r="BP1271" i="1"/>
  <c r="BP1255" i="1"/>
  <c r="BP1239" i="1"/>
  <c r="BP1155" i="1"/>
  <c r="BP185" i="1"/>
  <c r="BP173" i="1"/>
  <c r="BP161" i="1"/>
  <c r="BP153" i="1"/>
  <c r="BP141" i="1"/>
  <c r="BP121" i="1"/>
  <c r="BP113" i="1"/>
  <c r="BP101" i="1"/>
  <c r="BP93" i="1"/>
  <c r="BP73" i="1"/>
  <c r="BP65" i="1"/>
  <c r="BP57" i="1"/>
  <c r="BP49" i="1"/>
  <c r="BP41" i="1"/>
  <c r="BP33" i="1"/>
  <c r="BP25" i="1"/>
  <c r="BP17" i="1"/>
  <c r="BP9" i="1"/>
  <c r="BP971" i="1"/>
  <c r="BP959" i="1"/>
  <c r="BP947" i="1"/>
  <c r="BP931" i="1"/>
  <c r="BP923" i="1"/>
  <c r="BP911" i="1"/>
  <c r="BP895" i="1"/>
  <c r="BP883" i="1"/>
  <c r="BP875" i="1"/>
  <c r="BP867" i="1"/>
  <c r="BP851" i="1"/>
  <c r="BP839" i="1"/>
  <c r="BP823" i="1"/>
  <c r="BP811" i="1"/>
  <c r="BP803" i="1"/>
  <c r="BP791" i="1"/>
  <c r="BP779" i="1"/>
  <c r="BP763" i="1"/>
  <c r="BP751" i="1"/>
  <c r="BP739" i="1"/>
  <c r="BP727" i="1"/>
  <c r="BP715" i="1"/>
  <c r="BP703" i="1"/>
  <c r="BP691" i="1"/>
  <c r="BP679" i="1"/>
  <c r="BP667" i="1"/>
  <c r="BP655" i="1"/>
  <c r="BP643" i="1"/>
  <c r="BP631" i="1"/>
  <c r="BP619" i="1"/>
  <c r="BP607" i="1"/>
  <c r="BP595" i="1"/>
  <c r="BP583" i="1"/>
  <c r="BP571" i="1"/>
  <c r="BP559" i="1"/>
  <c r="BP547" i="1"/>
  <c r="BP535" i="1"/>
  <c r="BP523" i="1"/>
  <c r="BP515" i="1"/>
  <c r="BP503" i="1"/>
  <c r="BP491" i="1"/>
  <c r="BP479" i="1"/>
  <c r="BP467" i="1"/>
  <c r="BP455" i="1"/>
  <c r="BP443" i="1"/>
  <c r="BP431" i="1"/>
  <c r="BP419" i="1"/>
  <c r="BP407" i="1"/>
  <c r="BP399" i="1"/>
  <c r="BP387" i="1"/>
  <c r="BP371" i="1"/>
  <c r="BP359" i="1"/>
  <c r="BP347" i="1"/>
  <c r="BP177" i="1"/>
  <c r="BP165" i="1"/>
  <c r="BP145" i="1"/>
  <c r="BP133" i="1"/>
  <c r="BP125" i="1"/>
  <c r="BP109" i="1"/>
  <c r="BP97" i="1"/>
  <c r="BP81" i="1"/>
  <c r="BP69" i="1"/>
  <c r="BP61" i="1"/>
  <c r="BP53" i="1"/>
  <c r="BP45" i="1"/>
  <c r="BP37" i="1"/>
  <c r="BP29" i="1"/>
  <c r="BP21" i="1"/>
  <c r="BP13" i="1"/>
  <c r="BP5" i="1"/>
  <c r="BP975" i="1"/>
  <c r="BP963" i="1"/>
  <c r="BP951" i="1"/>
  <c r="BP939" i="1"/>
  <c r="BP927" i="1"/>
  <c r="BP915" i="1"/>
  <c r="BP903" i="1"/>
  <c r="BP891" i="1"/>
  <c r="BP879" i="1"/>
  <c r="BP859" i="1"/>
  <c r="BP847" i="1"/>
  <c r="BP835" i="1"/>
  <c r="BP827" i="1"/>
  <c r="BP819" i="1"/>
  <c r="BP807" i="1"/>
  <c r="BP795" i="1"/>
  <c r="BP783" i="1"/>
  <c r="BP771" i="1"/>
  <c r="BP759" i="1"/>
  <c r="BP747" i="1"/>
  <c r="BP735" i="1"/>
  <c r="BP723" i="1"/>
  <c r="BP711" i="1"/>
  <c r="BP699" i="1"/>
  <c r="BP687" i="1"/>
  <c r="BP675" i="1"/>
  <c r="BP663" i="1"/>
  <c r="BP651" i="1"/>
  <c r="BP639" i="1"/>
  <c r="BP623" i="1"/>
  <c r="BP611" i="1"/>
  <c r="BP599" i="1"/>
  <c r="BP587" i="1"/>
  <c r="BP575" i="1"/>
  <c r="BP563" i="1"/>
  <c r="BP551" i="1"/>
  <c r="BP539" i="1"/>
  <c r="BP527" i="1"/>
  <c r="BP511" i="1"/>
  <c r="BP499" i="1"/>
  <c r="BP487" i="1"/>
  <c r="BP475" i="1"/>
  <c r="BP463" i="1"/>
  <c r="BP447" i="1"/>
  <c r="BP439" i="1"/>
  <c r="BP427" i="1"/>
  <c r="BP415" i="1"/>
  <c r="BP403" i="1"/>
  <c r="BP391" i="1"/>
  <c r="BP379" i="1"/>
  <c r="BP363" i="1"/>
  <c r="BP351" i="1"/>
  <c r="BP181" i="1"/>
  <c r="BP169" i="1"/>
  <c r="BP157" i="1"/>
  <c r="BP149" i="1"/>
  <c r="BP137" i="1"/>
  <c r="BP129" i="1"/>
  <c r="BP117" i="1"/>
  <c r="BP105" i="1"/>
  <c r="BP89" i="1"/>
  <c r="BP77" i="1"/>
  <c r="BP979" i="1"/>
  <c r="BP967" i="1"/>
  <c r="BP955" i="1"/>
  <c r="BP943" i="1"/>
  <c r="BP935" i="1"/>
  <c r="BP919" i="1"/>
  <c r="BP907" i="1"/>
  <c r="BP899" i="1"/>
  <c r="BP887" i="1"/>
  <c r="BP871" i="1"/>
  <c r="BP863" i="1"/>
  <c r="BP855" i="1"/>
  <c r="BP843" i="1"/>
  <c r="BP831" i="1"/>
  <c r="BP815" i="1"/>
  <c r="BP799" i="1"/>
  <c r="BP787" i="1"/>
  <c r="BP775" i="1"/>
  <c r="BP767" i="1"/>
  <c r="BP755" i="1"/>
  <c r="BP743" i="1"/>
  <c r="BP731" i="1"/>
  <c r="BP719" i="1"/>
  <c r="BP707" i="1"/>
  <c r="BP695" i="1"/>
  <c r="BP683" i="1"/>
  <c r="BP671" i="1"/>
  <c r="BP659" i="1"/>
  <c r="BP647" i="1"/>
  <c r="BP635" i="1"/>
  <c r="BP627" i="1"/>
  <c r="BP615" i="1"/>
  <c r="BP603" i="1"/>
  <c r="BP591" i="1"/>
  <c r="BP579" i="1"/>
  <c r="BP567" i="1"/>
  <c r="BP555" i="1"/>
  <c r="BP543" i="1"/>
  <c r="BP531" i="1"/>
  <c r="BP519" i="1"/>
  <c r="BP507" i="1"/>
  <c r="BP495" i="1"/>
  <c r="BP483" i="1"/>
  <c r="BP471" i="1"/>
  <c r="BP459" i="1"/>
  <c r="BP451" i="1"/>
  <c r="BP435" i="1"/>
  <c r="BP423" i="1"/>
  <c r="BP411" i="1"/>
  <c r="BP395" i="1"/>
  <c r="BP383" i="1"/>
  <c r="BP375" i="1"/>
  <c r="BP367" i="1"/>
  <c r="BP355" i="1"/>
  <c r="BP343" i="1"/>
  <c r="BP339" i="1"/>
  <c r="BP335" i="1"/>
  <c r="BP331" i="1"/>
  <c r="BP327" i="1"/>
  <c r="BP323" i="1"/>
  <c r="BP319" i="1"/>
  <c r="BP315" i="1"/>
  <c r="BP311" i="1"/>
  <c r="BP307" i="1"/>
  <c r="BP303" i="1"/>
  <c r="BP299" i="1"/>
  <c r="BP295" i="1"/>
  <c r="BP291" i="1"/>
  <c r="BP287" i="1"/>
  <c r="BP283" i="1"/>
  <c r="BP279" i="1"/>
  <c r="BP275" i="1"/>
  <c r="BP271" i="1"/>
  <c r="BP267" i="1"/>
  <c r="BP263" i="1"/>
  <c r="BP259" i="1"/>
  <c r="BP255" i="1"/>
  <c r="BP251" i="1"/>
  <c r="BP247" i="1"/>
  <c r="BP243" i="1"/>
  <c r="BP239" i="1"/>
  <c r="BP235" i="1"/>
  <c r="BP231" i="1"/>
  <c r="BP227" i="1"/>
  <c r="BP223" i="1"/>
  <c r="BP219" i="1"/>
  <c r="BP215" i="1"/>
  <c r="BP211" i="1"/>
  <c r="BP207" i="1"/>
  <c r="BP203" i="1"/>
  <c r="BP199" i="1"/>
  <c r="BP195" i="1"/>
  <c r="BP191" i="1"/>
  <c r="BP187" i="1"/>
  <c r="BP183" i="1"/>
  <c r="BP179" i="1"/>
  <c r="BP175" i="1"/>
  <c r="BP171" i="1"/>
  <c r="BP167" i="1"/>
  <c r="BP163" i="1"/>
  <c r="BP159" i="1"/>
  <c r="BP155" i="1"/>
  <c r="BP151" i="1"/>
  <c r="BP147" i="1"/>
  <c r="BP143" i="1"/>
  <c r="BP139" i="1"/>
  <c r="BP135" i="1"/>
  <c r="BP131" i="1"/>
  <c r="BP127" i="1"/>
  <c r="BP123" i="1"/>
  <c r="BP119" i="1"/>
  <c r="BP115" i="1"/>
  <c r="BP111" i="1"/>
  <c r="BP107" i="1"/>
  <c r="BP103" i="1"/>
  <c r="BP99" i="1"/>
  <c r="BP95" i="1"/>
  <c r="BP91" i="1"/>
  <c r="BP87" i="1"/>
  <c r="BP83" i="1"/>
  <c r="BP79" i="1"/>
  <c r="BP75" i="1"/>
  <c r="BP71" i="1"/>
  <c r="BP67" i="1"/>
  <c r="BP63" i="1"/>
  <c r="BP59" i="1"/>
  <c r="BP55" i="1"/>
  <c r="BP51" i="1"/>
  <c r="BP47" i="1"/>
  <c r="BP43" i="1"/>
  <c r="BP39" i="1"/>
  <c r="BP35" i="1"/>
  <c r="BP31" i="1"/>
  <c r="BP27" i="1"/>
  <c r="BP23" i="1"/>
  <c r="BP19" i="1"/>
  <c r="BP15" i="1"/>
  <c r="BP11" i="1"/>
  <c r="BP7" i="1"/>
  <c r="R1203" i="1"/>
  <c r="C1201" i="1"/>
  <c r="C1202" i="1"/>
  <c r="J61" i="10" l="1"/>
  <c r="U61" i="10"/>
  <c r="J58" i="10"/>
  <c r="H56" i="10"/>
  <c r="H75" i="10" s="1"/>
  <c r="R61" i="10"/>
  <c r="L61" i="10"/>
  <c r="H61" i="10"/>
  <c r="H80" i="10" s="1"/>
  <c r="M58" i="10"/>
  <c r="W58" i="10"/>
  <c r="H58" i="10"/>
  <c r="H77" i="10" s="1"/>
  <c r="N58" i="10"/>
  <c r="P56" i="10"/>
  <c r="V56" i="10"/>
  <c r="W56" i="10"/>
  <c r="M56" i="10"/>
  <c r="O61" i="10"/>
  <c r="V61" i="10"/>
  <c r="P61" i="10"/>
  <c r="M61" i="10"/>
  <c r="K58" i="10"/>
  <c r="L58" i="10"/>
  <c r="Q58" i="10"/>
  <c r="R58" i="10"/>
  <c r="J56" i="10"/>
  <c r="K56" i="10"/>
  <c r="L56" i="10"/>
  <c r="Q56" i="10"/>
  <c r="I61" i="10"/>
  <c r="I80" i="10" s="1"/>
  <c r="S61" i="10"/>
  <c r="T61" i="10"/>
  <c r="Q61" i="10"/>
  <c r="O58" i="10"/>
  <c r="T58" i="10"/>
  <c r="U58" i="10"/>
  <c r="V58" i="10"/>
  <c r="N56" i="10"/>
  <c r="S56" i="10"/>
  <c r="T56" i="10"/>
  <c r="U56" i="10"/>
  <c r="N61" i="10"/>
  <c r="W61" i="10"/>
  <c r="K61" i="10"/>
  <c r="S58" i="10"/>
  <c r="P58" i="10"/>
  <c r="I58" i="10"/>
  <c r="I77" i="10" s="1"/>
  <c r="R56" i="10"/>
  <c r="O56" i="10"/>
  <c r="I56" i="10"/>
  <c r="AH76" i="10"/>
  <c r="AD76" i="10"/>
  <c r="AC76" i="10"/>
  <c r="AP57" i="10"/>
  <c r="AA76" i="10"/>
  <c r="AF76" i="10"/>
  <c r="AG76" i="10"/>
  <c r="AE76" i="10"/>
  <c r="AB76" i="10"/>
  <c r="AI76" i="10"/>
  <c r="R79" i="1"/>
  <c r="C1200" i="1"/>
  <c r="R1200" i="1"/>
  <c r="R1201" i="1"/>
  <c r="Y58" i="10" l="1"/>
  <c r="BF76" i="10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8" i="12"/>
  <c r="W101" i="12" s="1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8" i="12"/>
  <c r="V101" i="12" s="1"/>
  <c r="Y61" i="10" l="1"/>
  <c r="AA61" i="10" s="1"/>
  <c r="Y56" i="10"/>
  <c r="AG56" i="10" s="1"/>
  <c r="Y59" i="10"/>
  <c r="Y101" i="12"/>
  <c r="AC61" i="10"/>
  <c r="AB61" i="10"/>
  <c r="AI58" i="10"/>
  <c r="AD58" i="10"/>
  <c r="AE58" i="10"/>
  <c r="AH58" i="10"/>
  <c r="AB58" i="10"/>
  <c r="AC58" i="10"/>
  <c r="AF58" i="10"/>
  <c r="AG58" i="10"/>
  <c r="AA58" i="10"/>
  <c r="E23" i="13"/>
  <c r="H23" i="13"/>
  <c r="G23" i="13"/>
  <c r="F23" i="13"/>
  <c r="H21" i="13"/>
  <c r="G21" i="13"/>
  <c r="F21" i="13"/>
  <c r="E21" i="13"/>
  <c r="C20" i="13"/>
  <c r="H20" i="13"/>
  <c r="G20" i="13"/>
  <c r="F20" i="13"/>
  <c r="E20" i="13"/>
  <c r="H22" i="13"/>
  <c r="G22" i="13"/>
  <c r="F22" i="13"/>
  <c r="E22" i="13"/>
  <c r="H18" i="13"/>
  <c r="G18" i="13"/>
  <c r="F18" i="13"/>
  <c r="E18" i="13"/>
  <c r="E14" i="13"/>
  <c r="H14" i="13"/>
  <c r="G14" i="13"/>
  <c r="F14" i="13"/>
  <c r="C14" i="13"/>
  <c r="H15" i="13"/>
  <c r="G15" i="13"/>
  <c r="F15" i="13"/>
  <c r="E15" i="13"/>
  <c r="C15" i="13"/>
  <c r="C7" i="13"/>
  <c r="C6" i="13"/>
  <c r="C11" i="13"/>
  <c r="C19" i="13"/>
  <c r="C13" i="13"/>
  <c r="C9" i="13"/>
  <c r="C8" i="13"/>
  <c r="C10" i="13"/>
  <c r="C17" i="13"/>
  <c r="C16" i="13"/>
  <c r="C5" i="13"/>
  <c r="H12" i="13"/>
  <c r="G12" i="13"/>
  <c r="F12" i="13"/>
  <c r="E12" i="13"/>
  <c r="H16" i="13"/>
  <c r="G16" i="13"/>
  <c r="F16" i="13"/>
  <c r="E16" i="13"/>
  <c r="H17" i="13"/>
  <c r="G17" i="13"/>
  <c r="F17" i="13"/>
  <c r="E17" i="13"/>
  <c r="H10" i="13"/>
  <c r="G10" i="13"/>
  <c r="F10" i="13"/>
  <c r="E10" i="13"/>
  <c r="H8" i="13"/>
  <c r="G8" i="13"/>
  <c r="F8" i="13"/>
  <c r="E8" i="13"/>
  <c r="H9" i="13"/>
  <c r="G9" i="13"/>
  <c r="F9" i="13"/>
  <c r="E9" i="13"/>
  <c r="H13" i="13"/>
  <c r="G13" i="13"/>
  <c r="F13" i="13"/>
  <c r="E13" i="13"/>
  <c r="H19" i="13"/>
  <c r="G19" i="13"/>
  <c r="F19" i="13"/>
  <c r="E19" i="13"/>
  <c r="H11" i="13"/>
  <c r="G11" i="13"/>
  <c r="F11" i="13"/>
  <c r="E11" i="13"/>
  <c r="H6" i="13"/>
  <c r="G6" i="13"/>
  <c r="F6" i="13"/>
  <c r="E6" i="13"/>
  <c r="H7" i="13"/>
  <c r="G7" i="13"/>
  <c r="F7" i="13"/>
  <c r="E7" i="13"/>
  <c r="H5" i="13"/>
  <c r="G5" i="13"/>
  <c r="F5" i="13"/>
  <c r="E5" i="13"/>
  <c r="AF56" i="10" l="1"/>
  <c r="AD61" i="10"/>
  <c r="AB56" i="10"/>
  <c r="AH61" i="10"/>
  <c r="AH56" i="10"/>
  <c r="AI61" i="10"/>
  <c r="AI56" i="10"/>
  <c r="AE56" i="10"/>
  <c r="AD56" i="10"/>
  <c r="AE61" i="10"/>
  <c r="AF61" i="10"/>
  <c r="AA56" i="10"/>
  <c r="AC56" i="10"/>
  <c r="AG61" i="10"/>
  <c r="H24" i="13"/>
  <c r="AA77" i="10"/>
  <c r="AP58" i="10"/>
  <c r="AA80" i="10"/>
  <c r="G24" i="13"/>
  <c r="E24" i="13"/>
  <c r="F24" i="13"/>
  <c r="I23" i="13"/>
  <c r="I21" i="13"/>
  <c r="I18" i="13"/>
  <c r="I22" i="13"/>
  <c r="I20" i="13"/>
  <c r="I15" i="13"/>
  <c r="I14" i="13"/>
  <c r="I7" i="13"/>
  <c r="I11" i="13"/>
  <c r="I19" i="13"/>
  <c r="I13" i="13"/>
  <c r="I9" i="13"/>
  <c r="I8" i="13"/>
  <c r="I10" i="13"/>
  <c r="I17" i="13"/>
  <c r="I16" i="13"/>
  <c r="I12" i="13"/>
  <c r="I5" i="13"/>
  <c r="I6" i="13"/>
  <c r="AP61" i="10" l="1"/>
  <c r="AP56" i="10"/>
  <c r="G11" i="14"/>
  <c r="I24" i="13"/>
  <c r="R1373" i="1" l="1"/>
  <c r="C1192" i="1"/>
  <c r="C1193" i="1"/>
  <c r="C1194" i="1"/>
  <c r="C1195" i="1"/>
  <c r="C1196" i="1"/>
  <c r="C1197" i="1"/>
  <c r="C1198" i="1"/>
  <c r="C1199" i="1"/>
  <c r="R1192" i="1"/>
  <c r="R1193" i="1"/>
  <c r="R1194" i="1"/>
  <c r="R1195" i="1"/>
  <c r="R1196" i="1"/>
  <c r="R1197" i="1"/>
  <c r="R1198" i="1"/>
  <c r="C1189" i="1" l="1"/>
  <c r="C1190" i="1"/>
  <c r="C1191" i="1"/>
  <c r="R1189" i="1"/>
  <c r="R1190" i="1"/>
  <c r="C1187" i="1"/>
  <c r="C1188" i="1"/>
  <c r="R104" i="12"/>
  <c r="R103" i="12"/>
  <c r="R102" i="12"/>
  <c r="H12" i="12"/>
  <c r="G12" i="12"/>
  <c r="F12" i="12"/>
  <c r="E12" i="12"/>
  <c r="D12" i="12"/>
  <c r="H11" i="12"/>
  <c r="G11" i="12"/>
  <c r="F11" i="12"/>
  <c r="E11" i="12"/>
  <c r="D11" i="12"/>
  <c r="H6" i="12"/>
  <c r="G6" i="12"/>
  <c r="F6" i="12"/>
  <c r="E6" i="12"/>
  <c r="D6" i="12"/>
  <c r="H5" i="12"/>
  <c r="G5" i="12"/>
  <c r="F5" i="12"/>
  <c r="E5" i="12"/>
  <c r="D5" i="12"/>
  <c r="R1187" i="1" l="1"/>
  <c r="R1188" i="1"/>
  <c r="R1191" i="1"/>
  <c r="R1199" i="1"/>
  <c r="H13" i="12"/>
  <c r="G13" i="12"/>
  <c r="F13" i="12"/>
  <c r="E13" i="12"/>
  <c r="D13" i="12"/>
  <c r="I12" i="12"/>
  <c r="I11" i="12"/>
  <c r="I6" i="12"/>
  <c r="I5" i="12"/>
  <c r="E7" i="12"/>
  <c r="F7" i="12"/>
  <c r="G7" i="12"/>
  <c r="H7" i="12"/>
  <c r="D7" i="12"/>
  <c r="K6" i="12" l="1"/>
  <c r="M6" i="12"/>
  <c r="N6" i="12"/>
  <c r="L6" i="12"/>
  <c r="J6" i="12"/>
  <c r="N11" i="12"/>
  <c r="M11" i="12"/>
  <c r="K11" i="12"/>
  <c r="L11" i="12"/>
  <c r="J11" i="12"/>
  <c r="M12" i="12"/>
  <c r="N12" i="12"/>
  <c r="K12" i="12"/>
  <c r="L12" i="12"/>
  <c r="J12" i="12"/>
  <c r="K5" i="12"/>
  <c r="M5" i="12"/>
  <c r="N5" i="12"/>
  <c r="J5" i="12"/>
  <c r="L5" i="12"/>
  <c r="I13" i="12"/>
  <c r="J13" i="12" s="1"/>
  <c r="I7" i="12"/>
  <c r="L7" i="12" s="1"/>
  <c r="C1183" i="1"/>
  <c r="C1184" i="1"/>
  <c r="C1185" i="1"/>
  <c r="R1183" i="1"/>
  <c r="R1184" i="1"/>
  <c r="R1185" i="1"/>
  <c r="C1180" i="1"/>
  <c r="C1181" i="1"/>
  <c r="C1179" i="1"/>
  <c r="C1182" i="1"/>
  <c r="C1186" i="1"/>
  <c r="R1179" i="1"/>
  <c r="R1180" i="1"/>
  <c r="C1178" i="1"/>
  <c r="C1177" i="1"/>
  <c r="C1173" i="1"/>
  <c r="C1174" i="1"/>
  <c r="C1175" i="1"/>
  <c r="C1176" i="1"/>
  <c r="R1175" i="1"/>
  <c r="R1176" i="1"/>
  <c r="R1177" i="1"/>
  <c r="R1178" i="1"/>
  <c r="R1181" i="1"/>
  <c r="R1182" i="1"/>
  <c r="J7" i="12" l="1"/>
  <c r="N7" i="12"/>
  <c r="M7" i="12"/>
  <c r="K7" i="12"/>
  <c r="K13" i="12"/>
  <c r="N13" i="12"/>
  <c r="M13" i="12"/>
  <c r="L13" i="12"/>
  <c r="R1173" i="1"/>
  <c r="R1174" i="1"/>
  <c r="R1186" i="1"/>
  <c r="C1170" i="1"/>
  <c r="C1171" i="1"/>
  <c r="C1172" i="1"/>
  <c r="R1170" i="1"/>
  <c r="R1171" i="1"/>
  <c r="R1172" i="1"/>
  <c r="C991" i="1" l="1"/>
  <c r="R991" i="1"/>
  <c r="B68" i="10" l="1"/>
  <c r="B69" i="10"/>
  <c r="B70" i="10"/>
  <c r="B67" i="10"/>
  <c r="B66" i="10"/>
  <c r="AC66" i="10" l="1"/>
  <c r="AC77" i="10" s="1"/>
  <c r="AB66" i="10"/>
  <c r="AD66" i="10"/>
  <c r="AD77" i="10" s="1"/>
  <c r="BD69" i="10"/>
  <c r="BD80" i="10" s="1"/>
  <c r="AZ69" i="10"/>
  <c r="AZ80" i="10" s="1"/>
  <c r="AV69" i="10"/>
  <c r="AV80" i="10" s="1"/>
  <c r="AR69" i="10"/>
  <c r="AR80" i="10" s="1"/>
  <c r="AN69" i="10"/>
  <c r="AN80" i="10" s="1"/>
  <c r="AJ69" i="10"/>
  <c r="AJ80" i="10" s="1"/>
  <c r="AF69" i="10"/>
  <c r="AF80" i="10" s="1"/>
  <c r="AB69" i="10"/>
  <c r="BC69" i="10"/>
  <c r="BC80" i="10" s="1"/>
  <c r="AY69" i="10"/>
  <c r="AY80" i="10" s="1"/>
  <c r="AU69" i="10"/>
  <c r="AU80" i="10" s="1"/>
  <c r="AQ69" i="10"/>
  <c r="AQ80" i="10" s="1"/>
  <c r="AM69" i="10"/>
  <c r="AM80" i="10" s="1"/>
  <c r="AI69" i="10"/>
  <c r="AI80" i="10" s="1"/>
  <c r="AE69" i="10"/>
  <c r="AE80" i="10" s="1"/>
  <c r="BE69" i="10"/>
  <c r="BE80" i="10" s="1"/>
  <c r="BA69" i="10"/>
  <c r="BA80" i="10" s="1"/>
  <c r="AW69" i="10"/>
  <c r="AW80" i="10" s="1"/>
  <c r="AS69" i="10"/>
  <c r="AS80" i="10" s="1"/>
  <c r="AO69" i="10"/>
  <c r="AO80" i="10" s="1"/>
  <c r="AK69" i="10"/>
  <c r="AK80" i="10" s="1"/>
  <c r="AG69" i="10"/>
  <c r="AG80" i="10" s="1"/>
  <c r="AC69" i="10"/>
  <c r="AC80" i="10" s="1"/>
  <c r="BB69" i="10"/>
  <c r="BB80" i="10" s="1"/>
  <c r="AX69" i="10"/>
  <c r="AX80" i="10" s="1"/>
  <c r="AT69" i="10"/>
  <c r="AT80" i="10" s="1"/>
  <c r="AP69" i="10"/>
  <c r="AP80" i="10" s="1"/>
  <c r="AL69" i="10"/>
  <c r="AL80" i="10" s="1"/>
  <c r="AH69" i="10"/>
  <c r="AH80" i="10" s="1"/>
  <c r="AD69" i="10"/>
  <c r="AD80" i="10" s="1"/>
  <c r="BB68" i="10"/>
  <c r="BB79" i="10" s="1"/>
  <c r="AX68" i="10"/>
  <c r="AX79" i="10" s="1"/>
  <c r="AT68" i="10"/>
  <c r="AT79" i="10" s="1"/>
  <c r="AP68" i="10"/>
  <c r="AP79" i="10" s="1"/>
  <c r="AL68" i="10"/>
  <c r="AL79" i="10" s="1"/>
  <c r="AH68" i="10"/>
  <c r="AD68" i="10"/>
  <c r="BE68" i="10"/>
  <c r="BE79" i="10" s="1"/>
  <c r="BA68" i="10"/>
  <c r="BA79" i="10" s="1"/>
  <c r="AW68" i="10"/>
  <c r="AW79" i="10" s="1"/>
  <c r="AS68" i="10"/>
  <c r="AS79" i="10" s="1"/>
  <c r="AO68" i="10"/>
  <c r="AO79" i="10" s="1"/>
  <c r="AK68" i="10"/>
  <c r="AK79" i="10" s="1"/>
  <c r="AG68" i="10"/>
  <c r="AC68" i="10"/>
  <c r="BC68" i="10"/>
  <c r="BC79" i="10" s="1"/>
  <c r="AY68" i="10"/>
  <c r="AY79" i="10" s="1"/>
  <c r="AU68" i="10"/>
  <c r="AU79" i="10" s="1"/>
  <c r="AQ68" i="10"/>
  <c r="AQ79" i="10" s="1"/>
  <c r="AM68" i="10"/>
  <c r="AM79" i="10" s="1"/>
  <c r="AI68" i="10"/>
  <c r="AE68" i="10"/>
  <c r="BD68" i="10"/>
  <c r="BD79" i="10" s="1"/>
  <c r="AZ68" i="10"/>
  <c r="AZ79" i="10" s="1"/>
  <c r="AV68" i="10"/>
  <c r="AV79" i="10" s="1"/>
  <c r="AR68" i="10"/>
  <c r="AR79" i="10" s="1"/>
  <c r="AN68" i="10"/>
  <c r="AN79" i="10" s="1"/>
  <c r="AJ68" i="10"/>
  <c r="AJ79" i="10" s="1"/>
  <c r="AF68" i="10"/>
  <c r="AB68" i="10"/>
  <c r="BB65" i="10"/>
  <c r="AX65" i="10"/>
  <c r="AT65" i="10"/>
  <c r="AL65" i="10"/>
  <c r="AM65" i="10"/>
  <c r="AH65" i="10"/>
  <c r="AD65" i="10"/>
  <c r="BA65" i="10"/>
  <c r="AW65" i="10"/>
  <c r="AS65" i="10"/>
  <c r="AP65" i="10"/>
  <c r="AP75" i="10" s="1"/>
  <c r="AK65" i="10"/>
  <c r="AG65" i="10"/>
  <c r="K66" i="10"/>
  <c r="K75" i="10" s="1"/>
  <c r="BC65" i="10"/>
  <c r="AY65" i="10"/>
  <c r="AU65" i="10"/>
  <c r="AQ65" i="10"/>
  <c r="AN65" i="10"/>
  <c r="AI65" i="10"/>
  <c r="AE65" i="10"/>
  <c r="AB65" i="10"/>
  <c r="BD65" i="10"/>
  <c r="AZ65" i="10"/>
  <c r="AV65" i="10"/>
  <c r="AR65" i="10"/>
  <c r="AO65" i="10"/>
  <c r="AJ65" i="10"/>
  <c r="AJ75" i="10" s="1"/>
  <c r="AF65" i="10"/>
  <c r="AF75" i="10" s="1"/>
  <c r="AC65" i="10"/>
  <c r="AC75" i="10" s="1"/>
  <c r="AA65" i="10"/>
  <c r="BE67" i="10"/>
  <c r="BE78" i="10" s="1"/>
  <c r="BA67" i="10"/>
  <c r="BA78" i="10" s="1"/>
  <c r="AW67" i="10"/>
  <c r="AW78" i="10" s="1"/>
  <c r="AS67" i="10"/>
  <c r="AS78" i="10" s="1"/>
  <c r="AO67" i="10"/>
  <c r="AO78" i="10" s="1"/>
  <c r="AJ67" i="10"/>
  <c r="AF67" i="10"/>
  <c r="AB67" i="10"/>
  <c r="BD66" i="10"/>
  <c r="BD77" i="10" s="1"/>
  <c r="AZ66" i="10"/>
  <c r="AZ77" i="10" s="1"/>
  <c r="AV66" i="10"/>
  <c r="AV77" i="10" s="1"/>
  <c r="AR66" i="10"/>
  <c r="AR77" i="10" s="1"/>
  <c r="AN66" i="10"/>
  <c r="AN77" i="10" s="1"/>
  <c r="AG66" i="10"/>
  <c r="AG77" i="10" s="1"/>
  <c r="AI66" i="10"/>
  <c r="AI77" i="10" s="1"/>
  <c r="BD67" i="10"/>
  <c r="BD78" i="10" s="1"/>
  <c r="AZ67" i="10"/>
  <c r="AZ78" i="10" s="1"/>
  <c r="AV67" i="10"/>
  <c r="AV78" i="10" s="1"/>
  <c r="AR67" i="10"/>
  <c r="AR78" i="10" s="1"/>
  <c r="AN67" i="10"/>
  <c r="AN78" i="10" s="1"/>
  <c r="AI67" i="10"/>
  <c r="AE67" i="10"/>
  <c r="AC67" i="10"/>
  <c r="BC66" i="10"/>
  <c r="BC77" i="10" s="1"/>
  <c r="AY66" i="10"/>
  <c r="AY77" i="10" s="1"/>
  <c r="AU66" i="10"/>
  <c r="AU77" i="10" s="1"/>
  <c r="AQ66" i="10"/>
  <c r="AQ77" i="10" s="1"/>
  <c r="AM66" i="10"/>
  <c r="AM77" i="10" s="1"/>
  <c r="AL66" i="10"/>
  <c r="AL77" i="10" s="1"/>
  <c r="AH66" i="10"/>
  <c r="AH77" i="10" s="1"/>
  <c r="BB67" i="10"/>
  <c r="BB78" i="10" s="1"/>
  <c r="AX67" i="10"/>
  <c r="AX78" i="10" s="1"/>
  <c r="AT67" i="10"/>
  <c r="AT78" i="10" s="1"/>
  <c r="AP67" i="10"/>
  <c r="AP78" i="10" s="1"/>
  <c r="AK67" i="10"/>
  <c r="AK78" i="10" s="1"/>
  <c r="AG67" i="10"/>
  <c r="AL67" i="10"/>
  <c r="AL78" i="10" s="1"/>
  <c r="BE66" i="10"/>
  <c r="BA66" i="10"/>
  <c r="BA77" i="10" s="1"/>
  <c r="AW66" i="10"/>
  <c r="AW77" i="10" s="1"/>
  <c r="AS66" i="10"/>
  <c r="AS77" i="10" s="1"/>
  <c r="AO66" i="10"/>
  <c r="AO77" i="10" s="1"/>
  <c r="AF66" i="10"/>
  <c r="AF77" i="10" s="1"/>
  <c r="AJ66" i="10"/>
  <c r="AJ77" i="10" s="1"/>
  <c r="BC67" i="10"/>
  <c r="BC78" i="10" s="1"/>
  <c r="AY67" i="10"/>
  <c r="AY78" i="10" s="1"/>
  <c r="AU67" i="10"/>
  <c r="AU78" i="10" s="1"/>
  <c r="AQ67" i="10"/>
  <c r="AQ78" i="10" s="1"/>
  <c r="AM67" i="10"/>
  <c r="AM78" i="10" s="1"/>
  <c r="AH67" i="10"/>
  <c r="AD67" i="10"/>
  <c r="BB66" i="10"/>
  <c r="BB77" i="10" s="1"/>
  <c r="AX66" i="10"/>
  <c r="AX77" i="10" s="1"/>
  <c r="AT66" i="10"/>
  <c r="AT77" i="10" s="1"/>
  <c r="AP66" i="10"/>
  <c r="AP77" i="10" s="1"/>
  <c r="AE66" i="10"/>
  <c r="AE77" i="10" s="1"/>
  <c r="AK66" i="10"/>
  <c r="AK77" i="10" s="1"/>
  <c r="S68" i="10"/>
  <c r="L67" i="10"/>
  <c r="L77" i="10" s="1"/>
  <c r="K67" i="10"/>
  <c r="V70" i="10"/>
  <c r="R70" i="10"/>
  <c r="R80" i="10" s="1"/>
  <c r="N70" i="10"/>
  <c r="N80" i="10" s="1"/>
  <c r="L70" i="10"/>
  <c r="L80" i="10" s="1"/>
  <c r="U70" i="10"/>
  <c r="Q70" i="10"/>
  <c r="Q80" i="10" s="1"/>
  <c r="M70" i="10"/>
  <c r="M80" i="10" s="1"/>
  <c r="K70" i="10"/>
  <c r="T70" i="10"/>
  <c r="T80" i="10" s="1"/>
  <c r="P70" i="10"/>
  <c r="P80" i="10" s="1"/>
  <c r="W70" i="10"/>
  <c r="W80" i="10" s="1"/>
  <c r="S70" i="10"/>
  <c r="S80" i="10" s="1"/>
  <c r="O70" i="10"/>
  <c r="O80" i="10" s="1"/>
  <c r="U69" i="10"/>
  <c r="Q69" i="10"/>
  <c r="M69" i="10"/>
  <c r="T69" i="10"/>
  <c r="P69" i="10"/>
  <c r="L69" i="10"/>
  <c r="W69" i="10"/>
  <c r="S69" i="10"/>
  <c r="O69" i="10"/>
  <c r="K69" i="10"/>
  <c r="V69" i="10"/>
  <c r="R69" i="10"/>
  <c r="N69" i="10"/>
  <c r="T68" i="10"/>
  <c r="P68" i="10"/>
  <c r="W68" i="10"/>
  <c r="O68" i="10"/>
  <c r="V68" i="10"/>
  <c r="R68" i="10"/>
  <c r="N68" i="10"/>
  <c r="L68" i="10"/>
  <c r="U68" i="10"/>
  <c r="Q68" i="10"/>
  <c r="M68" i="10"/>
  <c r="K68" i="10"/>
  <c r="J70" i="10"/>
  <c r="J80" i="10" s="1"/>
  <c r="V80" i="10"/>
  <c r="K80" i="10"/>
  <c r="U80" i="10"/>
  <c r="J67" i="10"/>
  <c r="J77" i="10" s="1"/>
  <c r="U67" i="10"/>
  <c r="U77" i="10" s="1"/>
  <c r="Q67" i="10"/>
  <c r="Q77" i="10" s="1"/>
  <c r="M67" i="10"/>
  <c r="M77" i="10" s="1"/>
  <c r="V67" i="10"/>
  <c r="V77" i="10" s="1"/>
  <c r="N67" i="10"/>
  <c r="N77" i="10" s="1"/>
  <c r="T67" i="10"/>
  <c r="T77" i="10" s="1"/>
  <c r="P67" i="10"/>
  <c r="P77" i="10" s="1"/>
  <c r="R67" i="10"/>
  <c r="R77" i="10" s="1"/>
  <c r="W67" i="10"/>
  <c r="W77" i="10" s="1"/>
  <c r="S67" i="10"/>
  <c r="S77" i="10" s="1"/>
  <c r="O67" i="10"/>
  <c r="O77" i="10" s="1"/>
  <c r="K77" i="10"/>
  <c r="J69" i="10"/>
  <c r="J68" i="10"/>
  <c r="T66" i="10"/>
  <c r="T75" i="10" s="1"/>
  <c r="P66" i="10"/>
  <c r="P75" i="10" s="1"/>
  <c r="L66" i="10"/>
  <c r="L75" i="10" s="1"/>
  <c r="W66" i="10"/>
  <c r="S66" i="10"/>
  <c r="S75" i="10" s="1"/>
  <c r="O66" i="10"/>
  <c r="O75" i="10" s="1"/>
  <c r="V66" i="10"/>
  <c r="R66" i="10"/>
  <c r="R75" i="10" s="1"/>
  <c r="N66" i="10"/>
  <c r="N75" i="10" s="1"/>
  <c r="J66" i="10"/>
  <c r="J75" i="10" s="1"/>
  <c r="U66" i="10"/>
  <c r="Q66" i="10"/>
  <c r="M66" i="10"/>
  <c r="M75" i="10" s="1"/>
  <c r="I66" i="10"/>
  <c r="I76" i="10"/>
  <c r="I47" i="10"/>
  <c r="H47" i="10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04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48" i="1"/>
  <c r="R1168" i="1"/>
  <c r="R1169" i="1"/>
  <c r="R1202" i="1"/>
  <c r="J59" i="10" l="1"/>
  <c r="AC59" i="10" s="1"/>
  <c r="L59" i="10"/>
  <c r="P59" i="10"/>
  <c r="J60" i="10"/>
  <c r="AC60" i="10" s="1"/>
  <c r="AC79" i="10" s="1"/>
  <c r="W60" i="10"/>
  <c r="W79" i="10" s="1"/>
  <c r="R60" i="10"/>
  <c r="R79" i="10" s="1"/>
  <c r="Q60" i="10"/>
  <c r="Q79" i="10" s="1"/>
  <c r="T59" i="10"/>
  <c r="S59" i="10"/>
  <c r="S78" i="10" s="1"/>
  <c r="V60" i="10"/>
  <c r="V79" i="10" s="1"/>
  <c r="S60" i="10"/>
  <c r="S79" i="10" s="1"/>
  <c r="U59" i="10"/>
  <c r="H59" i="10"/>
  <c r="T60" i="10"/>
  <c r="T79" i="10" s="1"/>
  <c r="O60" i="10"/>
  <c r="AH60" i="10" s="1"/>
  <c r="AH79" i="10" s="1"/>
  <c r="N60" i="10"/>
  <c r="AG60" i="10" s="1"/>
  <c r="AG79" i="10" s="1"/>
  <c r="M60" i="10"/>
  <c r="Q59" i="10"/>
  <c r="Q78" i="10" s="1"/>
  <c r="M59" i="10"/>
  <c r="AF59" i="10" s="1"/>
  <c r="N59" i="10"/>
  <c r="R59" i="10"/>
  <c r="R78" i="10" s="1"/>
  <c r="P60" i="10"/>
  <c r="AI60" i="10" s="1"/>
  <c r="AI79" i="10" s="1"/>
  <c r="K60" i="10"/>
  <c r="AD60" i="10" s="1"/>
  <c r="AD79" i="10" s="1"/>
  <c r="I60" i="10"/>
  <c r="H60" i="10"/>
  <c r="V59" i="10"/>
  <c r="V78" i="10" s="1"/>
  <c r="I59" i="10"/>
  <c r="L60" i="10"/>
  <c r="U60" i="10"/>
  <c r="U79" i="10" s="1"/>
  <c r="K59" i="10"/>
  <c r="AD59" i="10" s="1"/>
  <c r="AD62" i="10" s="1"/>
  <c r="O59" i="10"/>
  <c r="AH59" i="10" s="1"/>
  <c r="AH62" i="10" s="1"/>
  <c r="W59" i="10"/>
  <c r="W78" i="10" s="1"/>
  <c r="J79" i="10"/>
  <c r="U78" i="10"/>
  <c r="T78" i="10"/>
  <c r="AP81" i="10"/>
  <c r="BE77" i="10"/>
  <c r="BE81" i="10" s="1"/>
  <c r="BE70" i="10"/>
  <c r="AJ70" i="10"/>
  <c r="AJ78" i="10"/>
  <c r="AJ81" i="10" s="1"/>
  <c r="AV75" i="10"/>
  <c r="AV81" i="10" s="1"/>
  <c r="AV70" i="10"/>
  <c r="AE70" i="10"/>
  <c r="AE75" i="10"/>
  <c r="AU75" i="10"/>
  <c r="AU81" i="10" s="1"/>
  <c r="AU70" i="10"/>
  <c r="AG70" i="10"/>
  <c r="AG75" i="10"/>
  <c r="AW75" i="10"/>
  <c r="AW81" i="10" s="1"/>
  <c r="AW70" i="10"/>
  <c r="AM75" i="10"/>
  <c r="AM81" i="10" s="1"/>
  <c r="AM70" i="10"/>
  <c r="BB75" i="10"/>
  <c r="BB81" i="10" s="1"/>
  <c r="BB70" i="10"/>
  <c r="AZ75" i="10"/>
  <c r="AZ81" i="10" s="1"/>
  <c r="AZ70" i="10"/>
  <c r="AI70" i="10"/>
  <c r="AI75" i="10"/>
  <c r="AY75" i="10"/>
  <c r="AY81" i="10" s="1"/>
  <c r="AY70" i="10"/>
  <c r="AK75" i="10"/>
  <c r="AK81" i="10" s="1"/>
  <c r="AK70" i="10"/>
  <c r="BA75" i="10"/>
  <c r="BA81" i="10" s="1"/>
  <c r="BA70" i="10"/>
  <c r="AL75" i="10"/>
  <c r="AL81" i="10" s="1"/>
  <c r="AL70" i="10"/>
  <c r="BF68" i="10"/>
  <c r="BF69" i="10"/>
  <c r="AB80" i="10"/>
  <c r="BF80" i="10" s="1"/>
  <c r="BF67" i="10"/>
  <c r="AA70" i="10"/>
  <c r="BF65" i="10"/>
  <c r="AA75" i="10"/>
  <c r="AO75" i="10"/>
  <c r="AO81" i="10" s="1"/>
  <c r="AO70" i="10"/>
  <c r="BD75" i="10"/>
  <c r="BD81" i="10" s="1"/>
  <c r="BD70" i="10"/>
  <c r="AN75" i="10"/>
  <c r="AN81" i="10" s="1"/>
  <c r="AN70" i="10"/>
  <c r="BC75" i="10"/>
  <c r="BC81" i="10" s="1"/>
  <c r="BC70" i="10"/>
  <c r="AP70" i="10"/>
  <c r="AD70" i="10"/>
  <c r="AD75" i="10"/>
  <c r="AT75" i="10"/>
  <c r="AT81" i="10" s="1"/>
  <c r="AT70" i="10"/>
  <c r="BF66" i="10"/>
  <c r="AB77" i="10"/>
  <c r="AC70" i="10"/>
  <c r="AC78" i="10"/>
  <c r="AF70" i="10"/>
  <c r="AF78" i="10"/>
  <c r="AR75" i="10"/>
  <c r="AR81" i="10" s="1"/>
  <c r="AR70" i="10"/>
  <c r="AB70" i="10"/>
  <c r="AB75" i="10"/>
  <c r="AQ75" i="10"/>
  <c r="AQ81" i="10" s="1"/>
  <c r="AQ70" i="10"/>
  <c r="AS75" i="10"/>
  <c r="AS81" i="10" s="1"/>
  <c r="AS70" i="10"/>
  <c r="AH70" i="10"/>
  <c r="AH75" i="10"/>
  <c r="AX75" i="10"/>
  <c r="AX81" i="10" s="1"/>
  <c r="AX70" i="10"/>
  <c r="J71" i="10"/>
  <c r="U71" i="10"/>
  <c r="U75" i="10"/>
  <c r="V71" i="10"/>
  <c r="V75" i="10"/>
  <c r="W71" i="10"/>
  <c r="W75" i="10"/>
  <c r="I71" i="10"/>
  <c r="I75" i="10"/>
  <c r="Q71" i="10"/>
  <c r="Q75" i="10"/>
  <c r="O71" i="10"/>
  <c r="P71" i="10"/>
  <c r="K71" i="10"/>
  <c r="L71" i="10"/>
  <c r="M71" i="10"/>
  <c r="N71" i="10"/>
  <c r="R71" i="10"/>
  <c r="S71" i="10"/>
  <c r="T71" i="10"/>
  <c r="J76" i="10"/>
  <c r="J47" i="10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4" i="8"/>
  <c r="BF77" i="10" l="1"/>
  <c r="K79" i="10"/>
  <c r="J78" i="10"/>
  <c r="M78" i="10"/>
  <c r="AH78" i="10"/>
  <c r="O79" i="10"/>
  <c r="AE59" i="10"/>
  <c r="L78" i="10"/>
  <c r="H79" i="10"/>
  <c r="AA60" i="10"/>
  <c r="AF60" i="10"/>
  <c r="AF79" i="10" s="1"/>
  <c r="AF81" i="10" s="1"/>
  <c r="M79" i="10"/>
  <c r="H78" i="10"/>
  <c r="AA59" i="10"/>
  <c r="AC62" i="10"/>
  <c r="N79" i="10"/>
  <c r="AD78" i="10"/>
  <c r="AD81" i="10" s="1"/>
  <c r="AE60" i="10"/>
  <c r="AE79" i="10" s="1"/>
  <c r="L79" i="10"/>
  <c r="AB60" i="10"/>
  <c r="AB79" i="10" s="1"/>
  <c r="I79" i="10"/>
  <c r="AG59" i="10"/>
  <c r="N78" i="10"/>
  <c r="O78" i="10"/>
  <c r="AH81" i="10"/>
  <c r="AC81" i="10"/>
  <c r="I78" i="10"/>
  <c r="AB59" i="10"/>
  <c r="AI59" i="10"/>
  <c r="P78" i="10"/>
  <c r="P79" i="10"/>
  <c r="K78" i="10"/>
  <c r="BF70" i="10"/>
  <c r="BF75" i="10"/>
  <c r="K76" i="10"/>
  <c r="K47" i="10"/>
  <c r="D21" i="8"/>
  <c r="E11" i="8" s="1"/>
  <c r="AF62" i="10" l="1"/>
  <c r="AB62" i="10"/>
  <c r="AB78" i="10"/>
  <c r="AB81" i="10" s="1"/>
  <c r="AG62" i="10"/>
  <c r="AG78" i="10"/>
  <c r="AG81" i="10" s="1"/>
  <c r="AA78" i="10"/>
  <c r="AP59" i="10"/>
  <c r="AA62" i="10"/>
  <c r="AA79" i="10"/>
  <c r="AP60" i="10"/>
  <c r="AI62" i="10"/>
  <c r="AI78" i="10"/>
  <c r="AI81" i="10" s="1"/>
  <c r="BF79" i="10"/>
  <c r="AE62" i="10"/>
  <c r="AE78" i="10"/>
  <c r="AE81" i="10" s="1"/>
  <c r="L76" i="10"/>
  <c r="L47" i="10"/>
  <c r="E10" i="8"/>
  <c r="E9" i="8"/>
  <c r="E14" i="8"/>
  <c r="E12" i="8"/>
  <c r="E15" i="8"/>
  <c r="E13" i="8"/>
  <c r="E8" i="8"/>
  <c r="E4" i="8"/>
  <c r="E5" i="8"/>
  <c r="E18" i="8"/>
  <c r="E16" i="8"/>
  <c r="E19" i="8"/>
  <c r="E17" i="8"/>
  <c r="E6" i="8"/>
  <c r="E7" i="8"/>
  <c r="E20" i="8"/>
  <c r="AP62" i="10" l="1"/>
  <c r="AA81" i="10"/>
  <c r="BF81" i="10" s="1"/>
  <c r="BF78" i="10"/>
  <c r="M76" i="10"/>
  <c r="M47" i="10"/>
  <c r="F12" i="8"/>
  <c r="E21" i="8"/>
  <c r="F20" i="8"/>
  <c r="N76" i="10" l="1"/>
  <c r="N47" i="10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9" i="5"/>
  <c r="R1164" i="1"/>
  <c r="R1165" i="1"/>
  <c r="R1166" i="1"/>
  <c r="R1167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46" i="1"/>
  <c r="R147" i="1"/>
  <c r="R148" i="1"/>
  <c r="R149" i="1"/>
  <c r="R150" i="1"/>
  <c r="R151" i="1"/>
  <c r="R15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O76" i="10" l="1"/>
  <c r="O47" i="10"/>
  <c r="S40" i="5"/>
  <c r="S39" i="5"/>
  <c r="R40" i="5"/>
  <c r="R39" i="5"/>
  <c r="Q40" i="5"/>
  <c r="Q39" i="5"/>
  <c r="P40" i="5"/>
  <c r="P39" i="5"/>
  <c r="O40" i="5"/>
  <c r="O39" i="5"/>
  <c r="N42" i="5"/>
  <c r="F10" i="5"/>
  <c r="F11" i="5"/>
  <c r="F12" i="5"/>
  <c r="F13" i="5"/>
  <c r="F14" i="5"/>
  <c r="D14" i="5" s="1"/>
  <c r="F15" i="5"/>
  <c r="F16" i="5"/>
  <c r="F17" i="5"/>
  <c r="F18" i="5"/>
  <c r="F19" i="5"/>
  <c r="F20" i="5"/>
  <c r="D20" i="5" s="1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9" i="5"/>
  <c r="S1022" i="3"/>
  <c r="S1021" i="3"/>
  <c r="S1020" i="3"/>
  <c r="S1019" i="3"/>
  <c r="S1018" i="3"/>
  <c r="S1017" i="3"/>
  <c r="S1016" i="3"/>
  <c r="S1015" i="3"/>
  <c r="S1014" i="3"/>
  <c r="S1013" i="3"/>
  <c r="S1012" i="3"/>
  <c r="S1011" i="3"/>
  <c r="S1010" i="3"/>
  <c r="S1009" i="3"/>
  <c r="S1008" i="3"/>
  <c r="S1007" i="3"/>
  <c r="S1006" i="3"/>
  <c r="S1005" i="3"/>
  <c r="S1004" i="3"/>
  <c r="S1003" i="3"/>
  <c r="S1002" i="3"/>
  <c r="S1001" i="3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P76" i="10" l="1"/>
  <c r="P47" i="10"/>
  <c r="D26" i="5"/>
  <c r="D22" i="5"/>
  <c r="D18" i="5"/>
  <c r="D10" i="5"/>
  <c r="D27" i="5"/>
  <c r="D15" i="5"/>
  <c r="D34" i="5"/>
  <c r="D30" i="5"/>
  <c r="D23" i="5"/>
  <c r="D19" i="5"/>
  <c r="D11" i="5"/>
  <c r="S41" i="5"/>
  <c r="S43" i="5" s="1"/>
  <c r="R41" i="5"/>
  <c r="R43" i="5" s="1"/>
  <c r="Q41" i="5"/>
  <c r="Q43" i="5" s="1"/>
  <c r="N39" i="5"/>
  <c r="N40" i="5"/>
  <c r="P41" i="5"/>
  <c r="P43" i="5" s="1"/>
  <c r="O41" i="5"/>
  <c r="O43" i="5" s="1"/>
  <c r="I36" i="5"/>
  <c r="D32" i="5"/>
  <c r="D16" i="5"/>
  <c r="D31" i="5"/>
  <c r="H36" i="5"/>
  <c r="D28" i="5"/>
  <c r="D24" i="5"/>
  <c r="D12" i="5"/>
  <c r="D35" i="5"/>
  <c r="G36" i="5"/>
  <c r="D33" i="5"/>
  <c r="D29" i="5"/>
  <c r="D25" i="5"/>
  <c r="D21" i="5"/>
  <c r="D17" i="5"/>
  <c r="D13" i="5"/>
  <c r="E36" i="5"/>
  <c r="D9" i="5"/>
  <c r="F36" i="5"/>
  <c r="Q76" i="10" l="1"/>
  <c r="Q47" i="10"/>
  <c r="A10" i="5"/>
  <c r="A9" i="5"/>
  <c r="S14" i="5" s="1"/>
  <c r="A21" i="5"/>
  <c r="A35" i="5"/>
  <c r="A13" i="5"/>
  <c r="A29" i="5"/>
  <c r="A12" i="5"/>
  <c r="A31" i="5"/>
  <c r="A19" i="5"/>
  <c r="A26" i="5"/>
  <c r="A20" i="5"/>
  <c r="A17" i="5"/>
  <c r="A33" i="5"/>
  <c r="A24" i="5"/>
  <c r="A16" i="5"/>
  <c r="A23" i="5"/>
  <c r="A18" i="5"/>
  <c r="A14" i="5"/>
  <c r="A28" i="5"/>
  <c r="A32" i="5"/>
  <c r="A30" i="5"/>
  <c r="A27" i="5"/>
  <c r="A22" i="5"/>
  <c r="A25" i="5"/>
  <c r="A11" i="5"/>
  <c r="A34" i="5"/>
  <c r="A15" i="5"/>
  <c r="N41" i="5"/>
  <c r="N43" i="5" s="1"/>
  <c r="D36" i="5"/>
  <c r="R76" i="10" l="1"/>
  <c r="R47" i="10"/>
  <c r="O14" i="5"/>
  <c r="M14" i="5"/>
  <c r="Q14" i="5"/>
  <c r="R14" i="5"/>
  <c r="P14" i="5"/>
  <c r="N14" i="5"/>
  <c r="O10" i="5"/>
  <c r="M19" i="5"/>
  <c r="S9" i="5"/>
  <c r="P31" i="5"/>
  <c r="R28" i="5"/>
  <c r="N26" i="5"/>
  <c r="P23" i="5"/>
  <c r="R20" i="5"/>
  <c r="N18" i="5"/>
  <c r="P15" i="5"/>
  <c r="R12" i="5"/>
  <c r="N10" i="5"/>
  <c r="M18" i="5"/>
  <c r="S33" i="5"/>
  <c r="O31" i="5"/>
  <c r="Q28" i="5"/>
  <c r="S25" i="5"/>
  <c r="O23" i="5"/>
  <c r="Q20" i="5"/>
  <c r="S17" i="5"/>
  <c r="O15" i="5"/>
  <c r="Q12" i="5"/>
  <c r="M33" i="5"/>
  <c r="M17" i="5"/>
  <c r="R33" i="5"/>
  <c r="N31" i="5"/>
  <c r="P28" i="5"/>
  <c r="R25" i="5"/>
  <c r="N23" i="5"/>
  <c r="P20" i="5"/>
  <c r="R17" i="5"/>
  <c r="N15" i="5"/>
  <c r="P12" i="5"/>
  <c r="M32" i="5"/>
  <c r="M16" i="5"/>
  <c r="Q33" i="5"/>
  <c r="S30" i="5"/>
  <c r="O28" i="5"/>
  <c r="Q25" i="5"/>
  <c r="S22" i="5"/>
  <c r="O20" i="5"/>
  <c r="Q17" i="5"/>
  <c r="O12" i="5"/>
  <c r="R30" i="5"/>
  <c r="Q11" i="5"/>
  <c r="M31" i="5"/>
  <c r="M15" i="5"/>
  <c r="P33" i="5"/>
  <c r="P25" i="5"/>
  <c r="R22" i="5"/>
  <c r="N20" i="5"/>
  <c r="P17" i="5"/>
  <c r="N12" i="5"/>
  <c r="M30" i="5"/>
  <c r="O33" i="5"/>
  <c r="Q30" i="5"/>
  <c r="S27" i="5"/>
  <c r="O25" i="5"/>
  <c r="Q22" i="5"/>
  <c r="S19" i="5"/>
  <c r="O17" i="5"/>
  <c r="S11" i="5"/>
  <c r="M29" i="5"/>
  <c r="M13" i="5"/>
  <c r="N33" i="5"/>
  <c r="P30" i="5"/>
  <c r="R27" i="5"/>
  <c r="N25" i="5"/>
  <c r="P22" i="5"/>
  <c r="R19" i="5"/>
  <c r="N17" i="5"/>
  <c r="P11" i="5"/>
  <c r="M26" i="5"/>
  <c r="M10" i="5"/>
  <c r="Q32" i="5"/>
  <c r="S29" i="5"/>
  <c r="O27" i="5"/>
  <c r="Q24" i="5"/>
  <c r="S21" i="5"/>
  <c r="O19" i="5"/>
  <c r="Q16" i="5"/>
  <c r="S13" i="5"/>
  <c r="O11" i="5"/>
  <c r="M25" i="5"/>
  <c r="M9" i="5"/>
  <c r="P32" i="5"/>
  <c r="R29" i="5"/>
  <c r="N27" i="5"/>
  <c r="P24" i="5"/>
  <c r="R21" i="5"/>
  <c r="N19" i="5"/>
  <c r="P16" i="5"/>
  <c r="R13" i="5"/>
  <c r="N11" i="5"/>
  <c r="M24" i="5"/>
  <c r="N9" i="5"/>
  <c r="O32" i="5"/>
  <c r="Q29" i="5"/>
  <c r="S26" i="5"/>
  <c r="O24" i="5"/>
  <c r="Q21" i="5"/>
  <c r="S18" i="5"/>
  <c r="O16" i="5"/>
  <c r="Q13" i="5"/>
  <c r="S10" i="5"/>
  <c r="N28" i="5"/>
  <c r="R11" i="5"/>
  <c r="M28" i="5"/>
  <c r="M12" i="5"/>
  <c r="S32" i="5"/>
  <c r="O30" i="5"/>
  <c r="Q27" i="5"/>
  <c r="S24" i="5"/>
  <c r="O22" i="5"/>
  <c r="Q19" i="5"/>
  <c r="S16" i="5"/>
  <c r="M27" i="5"/>
  <c r="M11" i="5"/>
  <c r="R32" i="5"/>
  <c r="N30" i="5"/>
  <c r="P27" i="5"/>
  <c r="R24" i="5"/>
  <c r="N22" i="5"/>
  <c r="P19" i="5"/>
  <c r="R16" i="5"/>
  <c r="M23" i="5"/>
  <c r="O9" i="5"/>
  <c r="N32" i="5"/>
  <c r="P29" i="5"/>
  <c r="R26" i="5"/>
  <c r="N24" i="5"/>
  <c r="P21" i="5"/>
  <c r="R18" i="5"/>
  <c r="N16" i="5"/>
  <c r="P13" i="5"/>
  <c r="R10" i="5"/>
  <c r="M22" i="5"/>
  <c r="P9" i="5"/>
  <c r="S31" i="5"/>
  <c r="O29" i="5"/>
  <c r="Q26" i="5"/>
  <c r="S23" i="5"/>
  <c r="O21" i="5"/>
  <c r="Q18" i="5"/>
  <c r="S15" i="5"/>
  <c r="O13" i="5"/>
  <c r="Q10" i="5"/>
  <c r="M21" i="5"/>
  <c r="Q9" i="5"/>
  <c r="R31" i="5"/>
  <c r="N29" i="5"/>
  <c r="P26" i="5"/>
  <c r="R23" i="5"/>
  <c r="N21" i="5"/>
  <c r="P18" i="5"/>
  <c r="R15" i="5"/>
  <c r="N13" i="5"/>
  <c r="P10" i="5"/>
  <c r="M20" i="5"/>
  <c r="R9" i="5"/>
  <c r="Q31" i="5"/>
  <c r="S28" i="5"/>
  <c r="O26" i="5"/>
  <c r="Q23" i="5"/>
  <c r="S20" i="5"/>
  <c r="O18" i="5"/>
  <c r="Q15" i="5"/>
  <c r="S12" i="5"/>
  <c r="S76" i="10" l="1"/>
  <c r="S47" i="10"/>
  <c r="Q36" i="5"/>
  <c r="R36" i="5"/>
  <c r="X31" i="5" s="1"/>
  <c r="N36" i="5"/>
  <c r="O36" i="5"/>
  <c r="J5" i="13" s="1"/>
  <c r="P36" i="5"/>
  <c r="S36" i="5"/>
  <c r="T76" i="10" l="1"/>
  <c r="T47" i="10"/>
  <c r="G8" i="14"/>
  <c r="G10" i="14" s="1"/>
  <c r="G12" i="14" s="1"/>
  <c r="N5" i="13"/>
  <c r="W26" i="5"/>
  <c r="L23" i="13"/>
  <c r="L20" i="13"/>
  <c r="L7" i="13"/>
  <c r="L10" i="13"/>
  <c r="L15" i="13"/>
  <c r="L19" i="13"/>
  <c r="L21" i="13"/>
  <c r="L17" i="13"/>
  <c r="L14" i="13"/>
  <c r="L13" i="13"/>
  <c r="L6" i="13"/>
  <c r="L9" i="13"/>
  <c r="L16" i="13"/>
  <c r="L5" i="13"/>
  <c r="L18" i="13"/>
  <c r="L8" i="13"/>
  <c r="L12" i="13"/>
  <c r="L11" i="13"/>
  <c r="L22" i="13"/>
  <c r="J21" i="13"/>
  <c r="J23" i="13"/>
  <c r="K21" i="13"/>
  <c r="K23" i="13"/>
  <c r="N21" i="13"/>
  <c r="N23" i="13"/>
  <c r="M21" i="13"/>
  <c r="M23" i="13"/>
  <c r="Y18" i="5"/>
  <c r="M22" i="13"/>
  <c r="M16" i="13"/>
  <c r="M19" i="13"/>
  <c r="M7" i="13"/>
  <c r="M8" i="13"/>
  <c r="M13" i="13"/>
  <c r="M12" i="13"/>
  <c r="M10" i="13"/>
  <c r="M9" i="13"/>
  <c r="M15" i="13"/>
  <c r="M18" i="13"/>
  <c r="M5" i="13"/>
  <c r="M17" i="13"/>
  <c r="M6" i="13"/>
  <c r="M14" i="13"/>
  <c r="M20" i="13"/>
  <c r="M11" i="13"/>
  <c r="U22" i="5"/>
  <c r="J15" i="13"/>
  <c r="J19" i="13"/>
  <c r="J8" i="13"/>
  <c r="J12" i="13"/>
  <c r="J22" i="13"/>
  <c r="J7" i="13"/>
  <c r="J10" i="13"/>
  <c r="J14" i="13"/>
  <c r="J20" i="13"/>
  <c r="J6" i="13"/>
  <c r="J11" i="13"/>
  <c r="J13" i="13"/>
  <c r="J17" i="13"/>
  <c r="J9" i="13"/>
  <c r="J16" i="13"/>
  <c r="J18" i="13"/>
  <c r="V32" i="5"/>
  <c r="K20" i="13"/>
  <c r="K11" i="13"/>
  <c r="K8" i="13"/>
  <c r="K12" i="13"/>
  <c r="K22" i="13"/>
  <c r="K19" i="13"/>
  <c r="K10" i="13"/>
  <c r="K15" i="13"/>
  <c r="K7" i="13"/>
  <c r="K13" i="13"/>
  <c r="K17" i="13"/>
  <c r="K14" i="13"/>
  <c r="K5" i="13"/>
  <c r="K6" i="13"/>
  <c r="K9" i="13"/>
  <c r="K16" i="13"/>
  <c r="K18" i="13"/>
  <c r="N22" i="13"/>
  <c r="N20" i="13"/>
  <c r="N18" i="13"/>
  <c r="N14" i="13"/>
  <c r="N15" i="13"/>
  <c r="N12" i="13"/>
  <c r="N16" i="13"/>
  <c r="N17" i="13"/>
  <c r="N8" i="13"/>
  <c r="N10" i="13"/>
  <c r="N9" i="13"/>
  <c r="T29" i="5"/>
  <c r="N11" i="13"/>
  <c r="N19" i="13"/>
  <c r="N7" i="13"/>
  <c r="N13" i="13"/>
  <c r="N6" i="13"/>
  <c r="V14" i="5"/>
  <c r="U31" i="5"/>
  <c r="W25" i="5"/>
  <c r="W22" i="5"/>
  <c r="Y21" i="5"/>
  <c r="Y26" i="5"/>
  <c r="W19" i="5"/>
  <c r="T24" i="5"/>
  <c r="X15" i="5"/>
  <c r="X20" i="5"/>
  <c r="X25" i="5"/>
  <c r="X30" i="5"/>
  <c r="Y19" i="5"/>
  <c r="U19" i="5"/>
  <c r="U24" i="5"/>
  <c r="T30" i="5"/>
  <c r="X10" i="5"/>
  <c r="W14" i="5"/>
  <c r="Y25" i="5"/>
  <c r="V12" i="5"/>
  <c r="V25" i="5"/>
  <c r="T33" i="5"/>
  <c r="V24" i="5"/>
  <c r="Y10" i="5"/>
  <c r="V29" i="5"/>
  <c r="W9" i="5"/>
  <c r="Y20" i="5"/>
  <c r="V10" i="5"/>
  <c r="X14" i="5"/>
  <c r="U23" i="5"/>
  <c r="U28" i="5"/>
  <c r="Y11" i="5"/>
  <c r="Y13" i="5"/>
  <c r="W29" i="5"/>
  <c r="Y23" i="5"/>
  <c r="O45" i="5"/>
  <c r="D15" i="10"/>
  <c r="U34" i="5"/>
  <c r="U35" i="5"/>
  <c r="N45" i="5"/>
  <c r="T34" i="5"/>
  <c r="T35" i="5"/>
  <c r="Y9" i="5"/>
  <c r="W20" i="5"/>
  <c r="U12" i="5"/>
  <c r="X27" i="5"/>
  <c r="U11" i="5"/>
  <c r="U16" i="5"/>
  <c r="X32" i="5"/>
  <c r="V13" i="5"/>
  <c r="W23" i="5"/>
  <c r="T10" i="5"/>
  <c r="T15" i="5"/>
  <c r="V33" i="5"/>
  <c r="T25" i="5"/>
  <c r="T27" i="5"/>
  <c r="W13" i="5"/>
  <c r="V19" i="5"/>
  <c r="U29" i="5"/>
  <c r="U10" i="5"/>
  <c r="U15" i="5"/>
  <c r="Y30" i="5"/>
  <c r="T12" i="5"/>
  <c r="V22" i="5"/>
  <c r="X13" i="5"/>
  <c r="Y24" i="5"/>
  <c r="X18" i="5"/>
  <c r="X23" i="5"/>
  <c r="V9" i="5"/>
  <c r="U18" i="5"/>
  <c r="T26" i="5"/>
  <c r="W12" i="5"/>
  <c r="W17" i="5"/>
  <c r="V30" i="5"/>
  <c r="X24" i="5"/>
  <c r="U26" i="5"/>
  <c r="P45" i="5"/>
  <c r="D17" i="10"/>
  <c r="H17" i="10" s="1"/>
  <c r="H48" i="10" s="1"/>
  <c r="H112" i="10" s="1"/>
  <c r="H114" i="10" s="1"/>
  <c r="V34" i="5"/>
  <c r="V35" i="5"/>
  <c r="S45" i="5"/>
  <c r="D20" i="10"/>
  <c r="H20" i="10" s="1"/>
  <c r="H51" i="10" s="1"/>
  <c r="Y35" i="5"/>
  <c r="Y34" i="5"/>
  <c r="Y14" i="5"/>
  <c r="R45" i="5"/>
  <c r="D19" i="10"/>
  <c r="H19" i="10" s="1"/>
  <c r="H50" i="10" s="1"/>
  <c r="X35" i="5"/>
  <c r="X34" i="5"/>
  <c r="V23" i="5"/>
  <c r="V28" i="5"/>
  <c r="T20" i="5"/>
  <c r="T17" i="5"/>
  <c r="X29" i="5"/>
  <c r="X11" i="5"/>
  <c r="T22" i="5"/>
  <c r="U21" i="5"/>
  <c r="T14" i="5"/>
  <c r="W28" i="5"/>
  <c r="W33" i="5"/>
  <c r="V17" i="5"/>
  <c r="V11" i="5"/>
  <c r="V16" i="5"/>
  <c r="W27" i="5"/>
  <c r="T32" i="5"/>
  <c r="W18" i="5"/>
  <c r="X28" i="5"/>
  <c r="X33" i="5"/>
  <c r="U20" i="5"/>
  <c r="Y27" i="5"/>
  <c r="U27" i="5"/>
  <c r="U32" i="5"/>
  <c r="V27" i="5"/>
  <c r="T13" i="5"/>
  <c r="U13" i="5"/>
  <c r="V18" i="5"/>
  <c r="V15" i="5"/>
  <c r="T31" i="5"/>
  <c r="X22" i="5"/>
  <c r="X19" i="5"/>
  <c r="X21" i="5"/>
  <c r="T28" i="5"/>
  <c r="X26" i="5"/>
  <c r="Y28" i="5"/>
  <c r="V26" i="5"/>
  <c r="Q45" i="5"/>
  <c r="D18" i="10"/>
  <c r="H18" i="10" s="1"/>
  <c r="H49" i="10" s="1"/>
  <c r="W35" i="5"/>
  <c r="W34" i="5"/>
  <c r="U14" i="5"/>
  <c r="X12" i="5"/>
  <c r="X17" i="5"/>
  <c r="U33" i="5"/>
  <c r="W32" i="5"/>
  <c r="T19" i="5"/>
  <c r="U30" i="5"/>
  <c r="U9" i="5"/>
  <c r="W10" i="5"/>
  <c r="V31" i="5"/>
  <c r="Y17" i="5"/>
  <c r="Y22" i="5"/>
  <c r="W30" i="5"/>
  <c r="Y29" i="5"/>
  <c r="T9" i="5"/>
  <c r="Y16" i="5"/>
  <c r="V21" i="5"/>
  <c r="X9" i="5"/>
  <c r="T18" i="5"/>
  <c r="T23" i="5"/>
  <c r="W11" i="5"/>
  <c r="U17" i="5"/>
  <c r="W16" i="5"/>
  <c r="W21" i="5"/>
  <c r="X16" i="5"/>
  <c r="Y15" i="5"/>
  <c r="W31" i="5"/>
  <c r="T21" i="5"/>
  <c r="W15" i="5"/>
  <c r="Y33" i="5"/>
  <c r="V20" i="5"/>
  <c r="U25" i="5"/>
  <c r="W24" i="5"/>
  <c r="T11" i="5"/>
  <c r="Y32" i="5"/>
  <c r="T16" i="5"/>
  <c r="Y31" i="5"/>
  <c r="Y12" i="5"/>
  <c r="H15" i="10" l="1"/>
  <c r="H46" i="10" s="1"/>
  <c r="H113" i="10" s="1"/>
  <c r="H115" i="10" s="1"/>
  <c r="U76" i="10"/>
  <c r="U47" i="10"/>
  <c r="J24" i="13"/>
  <c r="L24" i="13"/>
  <c r="N24" i="13"/>
  <c r="K24" i="13"/>
  <c r="M24" i="13"/>
  <c r="I18" i="10"/>
  <c r="I49" i="10" s="1"/>
  <c r="I19" i="10"/>
  <c r="I50" i="10" s="1"/>
  <c r="I20" i="10"/>
  <c r="I51" i="10" s="1"/>
  <c r="I17" i="10"/>
  <c r="I48" i="10" s="1"/>
  <c r="D21" i="10"/>
  <c r="V76" i="10" l="1"/>
  <c r="V47" i="10"/>
  <c r="W47" i="10"/>
  <c r="J17" i="10"/>
  <c r="J48" i="10" s="1"/>
  <c r="J18" i="10"/>
  <c r="J49" i="10" s="1"/>
  <c r="J19" i="10"/>
  <c r="J50" i="10" s="1"/>
  <c r="I15" i="10"/>
  <c r="I46" i="10" s="1"/>
  <c r="H52" i="10"/>
  <c r="H21" i="10"/>
  <c r="J20" i="10"/>
  <c r="J51" i="10" s="1"/>
  <c r="W76" i="10" l="1"/>
  <c r="H81" i="10"/>
  <c r="H62" i="10"/>
  <c r="K20" i="10"/>
  <c r="K51" i="10" s="1"/>
  <c r="K18" i="10"/>
  <c r="K49" i="10" s="1"/>
  <c r="K19" i="10"/>
  <c r="K50" i="10" s="1"/>
  <c r="K17" i="10"/>
  <c r="K48" i="10" s="1"/>
  <c r="I52" i="10"/>
  <c r="J15" i="10"/>
  <c r="J46" i="10" s="1"/>
  <c r="I21" i="10"/>
  <c r="H126" i="10" l="1"/>
  <c r="H123" i="10"/>
  <c r="H93" i="10"/>
  <c r="H98" i="10"/>
  <c r="H86" i="10"/>
  <c r="I81" i="10"/>
  <c r="L18" i="10"/>
  <c r="L49" i="10" s="1"/>
  <c r="L20" i="10"/>
  <c r="L51" i="10" s="1"/>
  <c r="K15" i="10"/>
  <c r="K46" i="10" s="1"/>
  <c r="J52" i="10"/>
  <c r="J21" i="10"/>
  <c r="L19" i="10"/>
  <c r="L50" i="10" s="1"/>
  <c r="L17" i="10"/>
  <c r="L48" i="10" s="1"/>
  <c r="I62" i="10"/>
  <c r="I123" i="10" l="1"/>
  <c r="I126" i="10"/>
  <c r="H130" i="10"/>
  <c r="H131" i="10" s="1"/>
  <c r="H128" i="10"/>
  <c r="H129" i="10" s="1"/>
  <c r="I93" i="10"/>
  <c r="I98" i="10"/>
  <c r="I86" i="10"/>
  <c r="J81" i="10"/>
  <c r="M20" i="10"/>
  <c r="M51" i="10" s="1"/>
  <c r="M17" i="10"/>
  <c r="M48" i="10" s="1"/>
  <c r="M19" i="10"/>
  <c r="M50" i="10" s="1"/>
  <c r="K52" i="10"/>
  <c r="L15" i="10"/>
  <c r="L46" i="10" s="1"/>
  <c r="K21" i="10"/>
  <c r="J62" i="10"/>
  <c r="M18" i="10"/>
  <c r="M49" i="10" s="1"/>
  <c r="J126" i="10" l="1"/>
  <c r="J128" i="10" s="1"/>
  <c r="J129" i="10" s="1"/>
  <c r="J123" i="10"/>
  <c r="I128" i="10"/>
  <c r="I129" i="10" s="1"/>
  <c r="I130" i="10"/>
  <c r="J93" i="10"/>
  <c r="J98" i="10"/>
  <c r="J86" i="10"/>
  <c r="K81" i="10"/>
  <c r="N18" i="10"/>
  <c r="N49" i="10" s="1"/>
  <c r="K62" i="10"/>
  <c r="N17" i="10"/>
  <c r="N48" i="10" s="1"/>
  <c r="L52" i="10"/>
  <c r="M15" i="10"/>
  <c r="M46" i="10" s="1"/>
  <c r="L21" i="10"/>
  <c r="N20" i="10"/>
  <c r="N51" i="10" s="1"/>
  <c r="N19" i="10"/>
  <c r="N50" i="10" s="1"/>
  <c r="K126" i="10" l="1"/>
  <c r="K128" i="10" s="1"/>
  <c r="K129" i="10" s="1"/>
  <c r="K123" i="10"/>
  <c r="I131" i="10"/>
  <c r="Z128" i="10"/>
  <c r="J130" i="10" s="1"/>
  <c r="K93" i="10"/>
  <c r="K98" i="10"/>
  <c r="K86" i="10"/>
  <c r="L62" i="10"/>
  <c r="L81" i="10"/>
  <c r="O18" i="10"/>
  <c r="O49" i="10" s="1"/>
  <c r="O20" i="10"/>
  <c r="O51" i="10" s="1"/>
  <c r="M52" i="10"/>
  <c r="N15" i="10"/>
  <c r="N46" i="10" s="1"/>
  <c r="M21" i="10"/>
  <c r="O17" i="10"/>
  <c r="O48" i="10" s="1"/>
  <c r="O19" i="10"/>
  <c r="O50" i="10" s="1"/>
  <c r="J131" i="10" l="1"/>
  <c r="K130" i="10"/>
  <c r="L126" i="10"/>
  <c r="L128" i="10" s="1"/>
  <c r="L129" i="10" s="1"/>
  <c r="L123" i="10"/>
  <c r="L93" i="10"/>
  <c r="L98" i="10"/>
  <c r="L86" i="10"/>
  <c r="M62" i="10"/>
  <c r="M81" i="10"/>
  <c r="P19" i="10"/>
  <c r="P50" i="10" s="1"/>
  <c r="P17" i="10"/>
  <c r="P48" i="10" s="1"/>
  <c r="N52" i="10"/>
  <c r="O15" i="10"/>
  <c r="O46" i="10" s="1"/>
  <c r="N21" i="10"/>
  <c r="P18" i="10"/>
  <c r="P49" i="10" s="1"/>
  <c r="P20" i="10"/>
  <c r="P51" i="10" s="1"/>
  <c r="L130" i="10" l="1"/>
  <c r="K131" i="10"/>
  <c r="M126" i="10"/>
  <c r="M128" i="10" s="1"/>
  <c r="M129" i="10" s="1"/>
  <c r="M123" i="10"/>
  <c r="M93" i="10"/>
  <c r="M98" i="10"/>
  <c r="M86" i="10"/>
  <c r="N81" i="10"/>
  <c r="O52" i="10"/>
  <c r="P15" i="10"/>
  <c r="P46" i="10" s="1"/>
  <c r="O21" i="10"/>
  <c r="Q20" i="10"/>
  <c r="Q51" i="10" s="1"/>
  <c r="Q18" i="10"/>
  <c r="Q49" i="10" s="1"/>
  <c r="N62" i="10"/>
  <c r="Q19" i="10"/>
  <c r="Q50" i="10" s="1"/>
  <c r="Q17" i="10"/>
  <c r="Q48" i="10" s="1"/>
  <c r="N126" i="10" l="1"/>
  <c r="N128" i="10" s="1"/>
  <c r="N129" i="10" s="1"/>
  <c r="N123" i="10"/>
  <c r="M130" i="10"/>
  <c r="L131" i="10"/>
  <c r="N93" i="10"/>
  <c r="N98" i="10"/>
  <c r="N86" i="10"/>
  <c r="O81" i="10"/>
  <c r="O62" i="10"/>
  <c r="R17" i="10"/>
  <c r="R48" i="10" s="1"/>
  <c r="R19" i="10"/>
  <c r="R50" i="10" s="1"/>
  <c r="R18" i="10"/>
  <c r="R49" i="10" s="1"/>
  <c r="R20" i="10"/>
  <c r="R51" i="10" s="1"/>
  <c r="P52" i="10"/>
  <c r="Q15" i="10"/>
  <c r="Q46" i="10" s="1"/>
  <c r="P21" i="10"/>
  <c r="O126" i="10" l="1"/>
  <c r="O128" i="10" s="1"/>
  <c r="O129" i="10" s="1"/>
  <c r="O123" i="10"/>
  <c r="N130" i="10"/>
  <c r="M131" i="10"/>
  <c r="O93" i="10"/>
  <c r="O98" i="10"/>
  <c r="O86" i="10"/>
  <c r="P81" i="10"/>
  <c r="Q52" i="10"/>
  <c r="R15" i="10"/>
  <c r="R46" i="10" s="1"/>
  <c r="Q21" i="10"/>
  <c r="S17" i="10"/>
  <c r="S48" i="10" s="1"/>
  <c r="P62" i="10"/>
  <c r="S19" i="10"/>
  <c r="S50" i="10" s="1"/>
  <c r="S20" i="10"/>
  <c r="S51" i="10" s="1"/>
  <c r="S18" i="10"/>
  <c r="S49" i="10" s="1"/>
  <c r="P126" i="10" l="1"/>
  <c r="P128" i="10" s="1"/>
  <c r="P129" i="10" s="1"/>
  <c r="P123" i="10"/>
  <c r="N131" i="10"/>
  <c r="O130" i="10"/>
  <c r="P93" i="10"/>
  <c r="P98" i="10"/>
  <c r="P86" i="10"/>
  <c r="Q81" i="10"/>
  <c r="Q62" i="10"/>
  <c r="T18" i="10"/>
  <c r="T49" i="10" s="1"/>
  <c r="R52" i="10"/>
  <c r="S15" i="10"/>
  <c r="S46" i="10" s="1"/>
  <c r="R21" i="10"/>
  <c r="T20" i="10"/>
  <c r="T51" i="10" s="1"/>
  <c r="T19" i="10"/>
  <c r="T50" i="10" s="1"/>
  <c r="T17" i="10"/>
  <c r="T48" i="10" s="1"/>
  <c r="Q126" i="10" l="1"/>
  <c r="Q128" i="10" s="1"/>
  <c r="Q129" i="10" s="1"/>
  <c r="Q123" i="10"/>
  <c r="O131" i="10"/>
  <c r="P130" i="10"/>
  <c r="Q93" i="10"/>
  <c r="Q98" i="10"/>
  <c r="Q86" i="10"/>
  <c r="R81" i="10"/>
  <c r="R62" i="10"/>
  <c r="U17" i="10"/>
  <c r="U48" i="10" s="1"/>
  <c r="U19" i="10"/>
  <c r="U50" i="10" s="1"/>
  <c r="U20" i="10"/>
  <c r="U51" i="10" s="1"/>
  <c r="S52" i="10"/>
  <c r="T15" i="10"/>
  <c r="T46" i="10" s="1"/>
  <c r="S21" i="10"/>
  <c r="U18" i="10"/>
  <c r="U49" i="10" s="1"/>
  <c r="R126" i="10" l="1"/>
  <c r="R128" i="10" s="1"/>
  <c r="R129" i="10" s="1"/>
  <c r="R123" i="10"/>
  <c r="Q130" i="10"/>
  <c r="P131" i="10"/>
  <c r="R93" i="10"/>
  <c r="R98" i="10"/>
  <c r="R86" i="10"/>
  <c r="S81" i="10"/>
  <c r="S62" i="10"/>
  <c r="V19" i="10"/>
  <c r="V50" i="10" s="1"/>
  <c r="V17" i="10"/>
  <c r="V48" i="10" s="1"/>
  <c r="V18" i="10"/>
  <c r="V49" i="10" s="1"/>
  <c r="V20" i="10"/>
  <c r="V51" i="10" s="1"/>
  <c r="T52" i="10"/>
  <c r="U15" i="10"/>
  <c r="U46" i="10" s="1"/>
  <c r="T21" i="10"/>
  <c r="S126" i="10" l="1"/>
  <c r="S128" i="10" s="1"/>
  <c r="S129" i="10" s="1"/>
  <c r="S123" i="10"/>
  <c r="R130" i="10"/>
  <c r="Q131" i="10"/>
  <c r="S93" i="10"/>
  <c r="S98" i="10"/>
  <c r="S86" i="10"/>
  <c r="T81" i="10"/>
  <c r="U52" i="10"/>
  <c r="V15" i="10"/>
  <c r="V46" i="10" s="1"/>
  <c r="U21" i="10"/>
  <c r="T62" i="10"/>
  <c r="W19" i="10"/>
  <c r="W17" i="10"/>
  <c r="W20" i="10"/>
  <c r="W18" i="10"/>
  <c r="W51" i="10" l="1"/>
  <c r="X20" i="10"/>
  <c r="W48" i="10"/>
  <c r="X17" i="10"/>
  <c r="W49" i="10"/>
  <c r="X18" i="10"/>
  <c r="W50" i="10"/>
  <c r="X19" i="10"/>
  <c r="T126" i="10"/>
  <c r="T128" i="10" s="1"/>
  <c r="T129" i="10" s="1"/>
  <c r="T123" i="10"/>
  <c r="S130" i="10"/>
  <c r="R131" i="10"/>
  <c r="T93" i="10"/>
  <c r="T98" i="10"/>
  <c r="T86" i="10"/>
  <c r="U81" i="10"/>
  <c r="V52" i="10"/>
  <c r="W15" i="10"/>
  <c r="V21" i="10"/>
  <c r="U62" i="10"/>
  <c r="W46" i="10" l="1"/>
  <c r="W52" i="10" s="1"/>
  <c r="X15" i="10"/>
  <c r="U126" i="10"/>
  <c r="U128" i="10" s="1"/>
  <c r="U129" i="10" s="1"/>
  <c r="U123" i="10"/>
  <c r="S131" i="10"/>
  <c r="T130" i="10"/>
  <c r="U93" i="10"/>
  <c r="U98" i="10"/>
  <c r="U86" i="10"/>
  <c r="V81" i="10"/>
  <c r="W21" i="10"/>
  <c r="V62" i="10"/>
  <c r="X51" i="10" l="1"/>
  <c r="X48" i="10"/>
  <c r="X46" i="10"/>
  <c r="X49" i="10"/>
  <c r="X50" i="10"/>
  <c r="X47" i="10"/>
  <c r="V126" i="10"/>
  <c r="V128" i="10" s="1"/>
  <c r="V129" i="10" s="1"/>
  <c r="V123" i="10"/>
  <c r="U130" i="10"/>
  <c r="T131" i="10"/>
  <c r="V93" i="10"/>
  <c r="V98" i="10"/>
  <c r="V86" i="10"/>
  <c r="W81" i="10"/>
  <c r="W62" i="10"/>
  <c r="W126" i="10" l="1"/>
  <c r="W128" i="10" s="1"/>
  <c r="W133" i="10" s="1"/>
  <c r="X78" i="10"/>
  <c r="X79" i="10"/>
  <c r="X80" i="10"/>
  <c r="X77" i="10"/>
  <c r="X75" i="10"/>
  <c r="X76" i="10"/>
  <c r="W123" i="10"/>
  <c r="V130" i="10"/>
  <c r="V131" i="10" s="1"/>
  <c r="U131" i="10"/>
  <c r="W93" i="10"/>
  <c r="W98" i="10"/>
  <c r="W86" i="10"/>
  <c r="W129" i="10" l="1"/>
  <c r="X136" i="10" l="1"/>
  <c r="AA136" i="10" s="1"/>
  <c r="X135" i="10"/>
  <c r="AA135" i="10" s="1"/>
  <c r="X134" i="10"/>
  <c r="AA134" i="10" s="1"/>
  <c r="AB134" i="10" l="1"/>
  <c r="AA27" i="10"/>
  <c r="AB135" i="10"/>
  <c r="AA28" i="10"/>
  <c r="AC28" i="10" s="1"/>
  <c r="AA30" i="10"/>
  <c r="AC30" i="10" s="1"/>
  <c r="AB136" i="10"/>
  <c r="AA31" i="10"/>
  <c r="AC31" i="10" s="1"/>
  <c r="AA29" i="10"/>
  <c r="AC29" i="10" s="1"/>
  <c r="AC27" i="10" l="1"/>
  <c r="AA32" i="10"/>
  <c r="AB137" i="10"/>
  <c r="AC13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Владисав Максаков</author>
  </authors>
  <commentList>
    <comment ref="L6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для дСЕС Зелений тариф встановлюється до 2024 року
</t>
        </r>
      </text>
    </comment>
    <comment ref="I27" authorId="0" shapeId="0" xr:uid="{00000000-0006-0000-0B00-000002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з них 100 регіональні</t>
        </r>
      </text>
    </comment>
    <comment ref="J27" authorId="0" shapeId="0" xr:uid="{00000000-0006-0000-0B00-000003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з них 100 регіональні</t>
        </r>
      </text>
    </comment>
    <comment ref="K27" authorId="0" shapeId="0" xr:uid="{00000000-0006-0000-0B00-000004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з них 100 регіональні</t>
        </r>
      </text>
    </comment>
    <comment ref="L27" authorId="0" shapeId="0" xr:uid="{00000000-0006-0000-0B00-000005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з них 150 регіональні</t>
        </r>
      </text>
    </comment>
    <comment ref="M27" authorId="0" shapeId="0" xr:uid="{00000000-0006-0000-0B00-000006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з них 150 регіональні</t>
        </r>
      </text>
    </comment>
    <comment ref="B56" authorId="0" shapeId="0" xr:uid="{00000000-0006-0000-0B00-000007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Для нових 0,147, Для старих о,137</t>
        </r>
      </text>
    </comment>
    <comment ref="B58" authorId="0" shapeId="0" xr:uid="{00000000-0006-0000-0B00-000008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 Звіт з оцінки достатності 0,36
</t>
        </r>
      </text>
    </comment>
    <comment ref="I108" authorId="0" shapeId="0" xr:uid="{00000000-0006-0000-0B00-000009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Корелюється з планом розвитку системи передачі</t>
        </r>
      </text>
    </comment>
    <comment ref="E121" authorId="0" shapeId="0" xr:uid="{00000000-0006-0000-0B00-00000A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Питвння щодо генерації Укргідроенерго</t>
        </r>
      </text>
    </comment>
    <comment ref="W130" authorId="0" shapeId="0" xr:uid="{00000000-0006-0000-0B00-00000B000000}">
      <text>
        <r>
          <rPr>
            <b/>
            <sz val="9"/>
            <color indexed="81"/>
            <rFont val="Tahoma"/>
            <family val="2"/>
            <charset val="204"/>
          </rPr>
          <t>Владисав Максаков:</t>
        </r>
        <r>
          <rPr>
            <sz val="9"/>
            <color indexed="81"/>
            <rFont val="Tahoma"/>
            <family val="2"/>
            <charset val="204"/>
          </rPr>
          <t xml:space="preserve">
Ціль 25% від прогнозну плану передачі
</t>
        </r>
      </text>
    </comment>
  </commentList>
</comments>
</file>

<file path=xl/sharedStrings.xml><?xml version="1.0" encoding="utf-8"?>
<sst xmlns="http://schemas.openxmlformats.org/spreadsheetml/2006/main" count="16827" uniqueCount="3530">
  <si>
    <t>Код ринку</t>
  </si>
  <si>
    <t>Код ЕДРПОУ</t>
  </si>
  <si>
    <t>Тип</t>
  </si>
  <si>
    <t>Найменування суб'єкта госпощдарювання</t>
  </si>
  <si>
    <t>Об'єкт</t>
  </si>
  <si>
    <t>Область</t>
  </si>
  <si>
    <t>Район</t>
  </si>
  <si>
    <t>Населений пункт</t>
  </si>
  <si>
    <t>Місцезнаходження</t>
  </si>
  <si>
    <t>Потужність, МВт</t>
  </si>
  <si>
    <t>Дата встановлення "Зеленого тарифу"</t>
  </si>
  <si>
    <t>Місяць</t>
  </si>
  <si>
    <t>Квартал</t>
  </si>
  <si>
    <t>Рік</t>
  </si>
  <si>
    <t>Зелений Тариф ЕЦ</t>
  </si>
  <si>
    <t>% надбавки</t>
  </si>
  <si>
    <t>Тариф+ надбавка</t>
  </si>
  <si>
    <t>Дата встановлення надбавки</t>
  </si>
  <si>
    <t>Січ.17</t>
  </si>
  <si>
    <t>Лют.17</t>
  </si>
  <si>
    <t>Бер.17</t>
  </si>
  <si>
    <t>Кві.17</t>
  </si>
  <si>
    <t>Тра.17</t>
  </si>
  <si>
    <t>Чер.17</t>
  </si>
  <si>
    <t>Лип.17</t>
  </si>
  <si>
    <t>Сер.17</t>
  </si>
  <si>
    <t>Вер.17</t>
  </si>
  <si>
    <t>Жов.17</t>
  </si>
  <si>
    <t>Лис.17</t>
  </si>
  <si>
    <t>Гру.17</t>
  </si>
  <si>
    <t>Січ.18</t>
  </si>
  <si>
    <t>Лют.18</t>
  </si>
  <si>
    <t>Бер.18</t>
  </si>
  <si>
    <t>Кві.18</t>
  </si>
  <si>
    <t>Тра.18</t>
  </si>
  <si>
    <t>Чер.18</t>
  </si>
  <si>
    <t>Лип.18</t>
  </si>
  <si>
    <t>Сер.18</t>
  </si>
  <si>
    <t>Вер.18</t>
  </si>
  <si>
    <t>Жов.18</t>
  </si>
  <si>
    <t>Лис.18</t>
  </si>
  <si>
    <t>Гру.18</t>
  </si>
  <si>
    <t>Січ.19</t>
  </si>
  <si>
    <t>Лют.19</t>
  </si>
  <si>
    <t>Бер.19</t>
  </si>
  <si>
    <t>Кві.19</t>
  </si>
  <si>
    <t>Тра.19</t>
  </si>
  <si>
    <t>Чер.19</t>
  </si>
  <si>
    <t>Лип.19</t>
  </si>
  <si>
    <t>Сер.19</t>
  </si>
  <si>
    <t>Вер.19</t>
  </si>
  <si>
    <t>Жов.19</t>
  </si>
  <si>
    <t>Лис.19</t>
  </si>
  <si>
    <t>Гру.19</t>
  </si>
  <si>
    <t>ВЕС</t>
  </si>
  <si>
    <t>ТОВ "Атомвінд-Краматорськ"</t>
  </si>
  <si>
    <t xml:space="preserve">Донецька </t>
  </si>
  <si>
    <t>II</t>
  </si>
  <si>
    <t/>
  </si>
  <si>
    <t>м.Краматорськ</t>
  </si>
  <si>
    <t>III</t>
  </si>
  <si>
    <t>ТОВ "Біоенергопродукт"</t>
  </si>
  <si>
    <t>Тернопільська</t>
  </si>
  <si>
    <t>Бережанський</t>
  </si>
  <si>
    <t>ТОВ "ВІНД ЕНЕРДЖІ"</t>
  </si>
  <si>
    <t xml:space="preserve">Івано-Франківська </t>
  </si>
  <si>
    <t>Долинський</t>
  </si>
  <si>
    <t>I</t>
  </si>
  <si>
    <t>ТОВ "ВІНД ПАУЕР"</t>
  </si>
  <si>
    <t xml:space="preserve">Запорізька  </t>
  </si>
  <si>
    <t>Приморський</t>
  </si>
  <si>
    <t>IV</t>
  </si>
  <si>
    <t>ТОВАРИСТВО З ОБМЕЖЕНОЮ ВІДПОВІДАЛЬНІСТЮ "ВІНДКРАФТ ТАВРІЯ"</t>
  </si>
  <si>
    <t xml:space="preserve">Херсонська </t>
  </si>
  <si>
    <t>Новотроїцький</t>
  </si>
  <si>
    <t>ТОВ "ВІНДКРАФТ УКРАЇНА"</t>
  </si>
  <si>
    <t>Скадовський</t>
  </si>
  <si>
    <t>Каланчацький</t>
  </si>
  <si>
    <t>ВЕС(ООС)</t>
  </si>
  <si>
    <t>ВЕО "Вітроенергопром"</t>
  </si>
  <si>
    <t>Новоазовський</t>
  </si>
  <si>
    <t>ТОВ "ВІТРЯНИЙ ПАРК БЛАГОДАТНИЙ"</t>
  </si>
  <si>
    <t xml:space="preserve">Миколаївська </t>
  </si>
  <si>
    <t xml:space="preserve">Очаківський </t>
  </si>
  <si>
    <t>ТОВ "Вітряний парк Краснодонський"</t>
  </si>
  <si>
    <t xml:space="preserve">Луганська </t>
  </si>
  <si>
    <t>Краснодонський</t>
  </si>
  <si>
    <t>ТОВ "Вітряний парк Лутугинський"</t>
  </si>
  <si>
    <t>Лутугинський</t>
  </si>
  <si>
    <t>ТОВ "Вітряний парк Новоазовський"</t>
  </si>
  <si>
    <t xml:space="preserve">ТОВ «ВІТРЯНИЙ ПАРК ПІВДЕННИЙ» </t>
  </si>
  <si>
    <t>Очаківський</t>
  </si>
  <si>
    <t>ПРАТ «ВІТРЯНИЙ ПАРК ОЧАКІВСЬКИЙ»</t>
  </si>
  <si>
    <t>Березанський</t>
  </si>
  <si>
    <t>ТОВ "ВІТРЯНИЙ ПАРК ПРИЧОРНОМОРСЬКИЙ"</t>
  </si>
  <si>
    <t xml:space="preserve">Вітовський </t>
  </si>
  <si>
    <t>ТзОВ "Зборівська птахофабрика"</t>
  </si>
  <si>
    <t>ТОВ "КАРПАТСЬКИЙ ВІТЕР"</t>
  </si>
  <si>
    <t xml:space="preserve">Львівська </t>
  </si>
  <si>
    <t>Старосамбірський</t>
  </si>
  <si>
    <t>ТОВ "ОВІД ВІНД"</t>
  </si>
  <si>
    <t xml:space="preserve">Одеська </t>
  </si>
  <si>
    <t>Овідіопольський</t>
  </si>
  <si>
    <t>ТОВ "ПРИМОРСЬКА ВІТРОЕЛЕКТРОСТАНЦІЯ"</t>
  </si>
  <si>
    <t>ТОВ "Приморська вітроелектростанція-2"</t>
  </si>
  <si>
    <t>Приазовський</t>
  </si>
  <si>
    <t>ТОВ "ВКФ "Лігена"</t>
  </si>
  <si>
    <t xml:space="preserve">Київська </t>
  </si>
  <si>
    <t>м. Бориспіль</t>
  </si>
  <si>
    <t>ТОВ "ЕКО-ОПТІМА"</t>
  </si>
  <si>
    <t>ТОВ "СИВАШЕНЕРГОПРОМ"</t>
  </si>
  <si>
    <t>Чаплинський</t>
  </si>
  <si>
    <t xml:space="preserve">ТОВ «ОРЛІВСЬКА ВІТРОЕЛЕКТРОСТАНЦІЯ» </t>
  </si>
  <si>
    <t xml:space="preserve">ТОВ «ВІНДКРАФТ КАЛАНЧАК» </t>
  </si>
  <si>
    <t>ТОВ «ВІНДКРАФТ КАЛАНЧАК»</t>
  </si>
  <si>
    <t xml:space="preserve">ТОВ «ВІТРЯНИЙ ПАРК ЩАСЛИВИЙ» </t>
  </si>
  <si>
    <t xml:space="preserve">ТОВ «ВІТРЯНИЙ ПАРК ШВИДКИЙ» </t>
  </si>
  <si>
    <t>ТОВ «СІНГА ЕНЕРДЖІ»</t>
  </si>
  <si>
    <t>Біомаса</t>
  </si>
  <si>
    <t>Біо</t>
  </si>
  <si>
    <t>ТОВ"АяксДніпро"</t>
  </si>
  <si>
    <t>ТЕС, 1 черга</t>
  </si>
  <si>
    <t xml:space="preserve">Дніпропетровська </t>
  </si>
  <si>
    <t>м. Дніпро</t>
  </si>
  <si>
    <t>вул. Байкальська, земельна ділянка 9 Г</t>
  </si>
  <si>
    <t>B_G_ENERGO_BGPP</t>
  </si>
  <si>
    <t>ТОВ "БІОГАЗЕНЕРГО"</t>
  </si>
  <si>
    <t>ТЕС</t>
  </si>
  <si>
    <t>смт Іванків</t>
  </si>
  <si>
    <t>EUGROILBMPP</t>
  </si>
  <si>
    <t>ТОВ "АПК "ЄВГРОЙЛ"</t>
  </si>
  <si>
    <t>ТЕЦ</t>
  </si>
  <si>
    <t>м. Миколаїв</t>
  </si>
  <si>
    <t>пр. Героїв Сталінграду, 117а</t>
  </si>
  <si>
    <t>KOEZKERNELBMPP</t>
  </si>
  <si>
    <t>ПРАТ "КРОПИВНИЦЬКИЙ ОЕЗ"</t>
  </si>
  <si>
    <t xml:space="preserve">Кіровоградська </t>
  </si>
  <si>
    <t>м. Кіровоград</t>
  </si>
  <si>
    <t>вул. Урожайна, 30</t>
  </si>
  <si>
    <t>ТОВ "Кліар Енерджі"</t>
  </si>
  <si>
    <t>Корюківська ТЕС</t>
  </si>
  <si>
    <t xml:space="preserve">Чернігівська </t>
  </si>
  <si>
    <t>м.Корюківка</t>
  </si>
  <si>
    <t>вул. Костюк Галини, 49</t>
  </si>
  <si>
    <t>Біо(ООС)</t>
  </si>
  <si>
    <t>ТОВ "Комбінат Каргілл"</t>
  </si>
  <si>
    <t>м. Донецьк</t>
  </si>
  <si>
    <t>Петровський р-н</t>
  </si>
  <si>
    <t>MBSR_BMPP</t>
  </si>
  <si>
    <t>ТзОВ "Мебель-Сервіс"</t>
  </si>
  <si>
    <t>Радехівський</t>
  </si>
  <si>
    <t>с. Полове</t>
  </si>
  <si>
    <t>вул.Дубрівка, 14</t>
  </si>
  <si>
    <t>ФОП Пересадько Роман Володимирович</t>
  </si>
  <si>
    <t>Тлумацький</t>
  </si>
  <si>
    <t>с. Королівка</t>
  </si>
  <si>
    <t>вул. Загора, 49 Б</t>
  </si>
  <si>
    <t>SINGAENERGBGPP</t>
  </si>
  <si>
    <t>ТОВ "СІНГА ЕНЕРДЖІС"</t>
  </si>
  <si>
    <t>м.Березанка</t>
  </si>
  <si>
    <t>вул. Новосельська, 68</t>
  </si>
  <si>
    <t>SMILAEPTCHPP</t>
  </si>
  <si>
    <t>ТОВ "СМІЛАЕНЕРГОПРОМТРАНС"</t>
  </si>
  <si>
    <t xml:space="preserve">Черкаська </t>
  </si>
  <si>
    <t>м. Сміла</t>
  </si>
  <si>
    <t>вул. Ленінградська, 41</t>
  </si>
  <si>
    <t>UGENERGOBMPP</t>
  </si>
  <si>
    <t>ТОВ "ЕПГ "ЮГЕНЕРГОПРОМТРАНС"</t>
  </si>
  <si>
    <t>м.Переяслав-Хмельницький</t>
  </si>
  <si>
    <t>вул.Героїв Дніпра, 38-А/1</t>
  </si>
  <si>
    <t xml:space="preserve">КП «МІСЬКТЕПЛОВОДЕНЕРГІЯ» </t>
  </si>
  <si>
    <t>2 черга тец</t>
  </si>
  <si>
    <t xml:space="preserve">Хмельницька </t>
  </si>
  <si>
    <t>м. Кам’янець-Подільський</t>
  </si>
  <si>
    <t>вул. Крип’якевича, 3</t>
  </si>
  <si>
    <t>ТОВ «ПОЛІСЬКА ТЕС»</t>
  </si>
  <si>
    <t xml:space="preserve">Житомирська </t>
  </si>
  <si>
    <t>м. Овруч</t>
  </si>
  <si>
    <t>вул. Металістів, 10г</t>
  </si>
  <si>
    <t>ФІЗИЧНА ОСОБА - ПІДПРИЄМЕЦЬ СТЕЛЬМАЩУК ВІРА ДМИТРІВНА</t>
  </si>
  <si>
    <t>Мініелектростанція силова АД-50</t>
  </si>
  <si>
    <t>Надвірнянський</t>
  </si>
  <si>
    <t>смт Делятин</t>
  </si>
  <si>
    <t>вул. Погрібнич, буд. 138а</t>
  </si>
  <si>
    <t xml:space="preserve">ТОВ «ЕЙДЖИЕЛ ЕНЕРДЖИ» </t>
  </si>
  <si>
    <t xml:space="preserve">Харківська </t>
  </si>
  <si>
    <t>Нововодолазький</t>
  </si>
  <si>
    <t>смт Нова Водолага</t>
  </si>
  <si>
    <t>вул. Харківська, 146/1</t>
  </si>
  <si>
    <t>ТОВ «КОРСУНЬ ЕКО ЕНЕРГО»</t>
  </si>
  <si>
    <t>комплекс з переробки біомаси в біогаз для виробництва електричної та теплової енергії</t>
  </si>
  <si>
    <t>Корсунь-Шевченківський</t>
  </si>
  <si>
    <t>адміністративні межі Селищенської сільської ради ( за межами населеного пункту)</t>
  </si>
  <si>
    <t>ТОВ «ПГС-ЕНЕРГІЯ»</t>
  </si>
  <si>
    <t>(Котельня ТЕС на біопаливі Запорізька обл., м. Запоріжжя, вул. Перспективна, буд. 17</t>
  </si>
  <si>
    <t>Біогаз</t>
  </si>
  <si>
    <t>ТОВ "Агробудтехнології"</t>
  </si>
  <si>
    <t>1 черга когенераційної установки</t>
  </si>
  <si>
    <t xml:space="preserve">Вінницька </t>
  </si>
  <si>
    <t>м. Вінниця</t>
  </si>
  <si>
    <t>вул.600-річчя, 17</t>
  </si>
  <si>
    <t>ТОВ "Агропідприємство "Зелений Гай"</t>
  </si>
  <si>
    <t>Вознесенський</t>
  </si>
  <si>
    <t>с. Бузьке</t>
  </si>
  <si>
    <t>вул. Зеленогаївська, 1-б</t>
  </si>
  <si>
    <t>STADBGPP</t>
  </si>
  <si>
    <t>ТОВ "АЕУ ЕНЕРГО"</t>
  </si>
  <si>
    <t>полігон ТПВ</t>
  </si>
  <si>
    <t>Вінницький</t>
  </si>
  <si>
    <t>с. Стадниця</t>
  </si>
  <si>
    <t>біля с. Стадниця</t>
  </si>
  <si>
    <t>ТОВ "Біогаз Енерджі"</t>
  </si>
  <si>
    <t>м. Хмельницький</t>
  </si>
  <si>
    <t>проспект Миру, 7</t>
  </si>
  <si>
    <t>BEKBGPP</t>
  </si>
  <si>
    <t>ТОВ "БІОГАЗ-УКРАЇНА"</t>
  </si>
  <si>
    <t>полігон ТПВ, 1 черга</t>
  </si>
  <si>
    <t>м. Запоріжжя</t>
  </si>
  <si>
    <t>вул.Базова, 10в</t>
  </si>
  <si>
    <t>2 черга полігону ТПВ</t>
  </si>
  <si>
    <t>ТОВ "Городище-Пустоварівська аграрна компанія"</t>
  </si>
  <si>
    <t>Прилуцький</t>
  </si>
  <si>
    <t>землі Богданівської с/р (за межами населеного пункту)</t>
  </si>
  <si>
    <t>Варвинський</t>
  </si>
  <si>
    <t>територія Журавської сільської ради (за межами населеного пункту)</t>
  </si>
  <si>
    <t>Володарський</t>
  </si>
  <si>
    <t>територія Городище-Пустоварівської с/р (за межами населеного пункту)</t>
  </si>
  <si>
    <t>KOPANKYBGPP</t>
  </si>
  <si>
    <t>ТзОВ "ҐУДВЕЛЛІ УКРАЇНА"</t>
  </si>
  <si>
    <t>Калуський</t>
  </si>
  <si>
    <t>с. Копанки</t>
  </si>
  <si>
    <t>вул. Лісова, 1г</t>
  </si>
  <si>
    <t>ТОВ "Екокошет"</t>
  </si>
  <si>
    <t xml:space="preserve">Закарпатська </t>
  </si>
  <si>
    <t>Мукачівський</t>
  </si>
  <si>
    <t>с.Чопівці</t>
  </si>
  <si>
    <t>вул.Мічуріна</t>
  </si>
  <si>
    <t>EKOPRODBGPP</t>
  </si>
  <si>
    <t>ПрАТ "ЕКОПРОД"</t>
  </si>
  <si>
    <t>1 черга</t>
  </si>
  <si>
    <t>Волноваський</t>
  </si>
  <si>
    <t>м. Волноваха</t>
  </si>
  <si>
    <t>вул.Шевцової, 9В/1,</t>
  </si>
  <si>
    <t>BIO_CENTR_BGPP</t>
  </si>
  <si>
    <t>ТОВ "КИЇВ БІО ЦЕНТР"</t>
  </si>
  <si>
    <t>Баришівський</t>
  </si>
  <si>
    <t>Бзівська сільська рада (за межами населеного пункту)</t>
  </si>
  <si>
    <t>Тисменицький</t>
  </si>
  <si>
    <t>на території Рибненської сільської ради</t>
  </si>
  <si>
    <t xml:space="preserve">Харківський </t>
  </si>
  <si>
    <t>с.Докучаєвське</t>
  </si>
  <si>
    <t xml:space="preserve">вул.Об"їздна,2 </t>
  </si>
  <si>
    <t>полігон ТПВ, 2 черга</t>
  </si>
  <si>
    <t>Харківський</t>
  </si>
  <si>
    <t>вул.Об"їздна, 2</t>
  </si>
  <si>
    <t xml:space="preserve">Волинська </t>
  </si>
  <si>
    <t>Луцький</t>
  </si>
  <si>
    <t xml:space="preserve"> с.Брище</t>
  </si>
  <si>
    <t>с.Брище</t>
  </si>
  <si>
    <t>м. Біла Церква</t>
  </si>
  <si>
    <t>вул. Сухоярська, 10-Б</t>
  </si>
  <si>
    <t>HUCEKKCHPP</t>
  </si>
  <si>
    <t>ТОВ "КЛІАР ЕНЕРДЖІ-КРЕМЕНЧУК"</t>
  </si>
  <si>
    <t xml:space="preserve">Полтавська  </t>
  </si>
  <si>
    <t>Крюковський</t>
  </si>
  <si>
    <t>м. Кременчук</t>
  </si>
  <si>
    <t>вул.Тімірязєва, 50</t>
  </si>
  <si>
    <t>HUCEKPCHPP</t>
  </si>
  <si>
    <t>Полтавський</t>
  </si>
  <si>
    <t>с. Ковалівка</t>
  </si>
  <si>
    <t xml:space="preserve">за межами населеного пункту </t>
  </si>
  <si>
    <t>ТОВ "КЛІАР ЕНЕРДЖІ -ХЕРСОН"</t>
  </si>
  <si>
    <t>м. Херсон</t>
  </si>
  <si>
    <t>район Рожновського кар"єру</t>
  </si>
  <si>
    <t>м. Кривий Ріг</t>
  </si>
  <si>
    <t>вул. Юнацька, буд.12</t>
  </si>
  <si>
    <t>вул. Воліна, буд. 55</t>
  </si>
  <si>
    <t>HUCECHCHPP</t>
  </si>
  <si>
    <t>ТОВ "КЛІАР ЕНЕРДЖІ-ЧЕРНІГІВ"</t>
  </si>
  <si>
    <t>Чернігівський</t>
  </si>
  <si>
    <t>на території Новобілоуської сільської ради</t>
  </si>
  <si>
    <t>KOMERTSBUDBPP</t>
  </si>
  <si>
    <t>ТОВ " КОМЕРЦБУДПЛАСТ "</t>
  </si>
  <si>
    <t>1черга будівництва цеху ПАТ "Чорнобаївське"</t>
  </si>
  <si>
    <t>Білозерський</t>
  </si>
  <si>
    <t>на території Східненської сільської ради</t>
  </si>
  <si>
    <t>MPPLATEKSBGPP</t>
  </si>
  <si>
    <t>МПП "ЛАТЕКС"</t>
  </si>
  <si>
    <t>Біогазова енергетична станція "Екоенергія Барвінок"</t>
  </si>
  <si>
    <t>Ужгородський</t>
  </si>
  <si>
    <t>с. Барвінок</t>
  </si>
  <si>
    <t>BORLHKBGPP</t>
  </si>
  <si>
    <t>ТОВ "ЛНК"</t>
  </si>
  <si>
    <t>Бориспільський</t>
  </si>
  <si>
    <t>на території Глибоцької сільської ради</t>
  </si>
  <si>
    <t>OBULHKBGPP</t>
  </si>
  <si>
    <t>ТОВ "Ланкаст"</t>
  </si>
  <si>
    <t>полігон ТПВ (ІІ черга об’єкта Підгірці Л-31 та об’єкт Підгірці Л-51)</t>
  </si>
  <si>
    <t>Обухівський</t>
  </si>
  <si>
    <t>в адміністративних межах Підгірцівської сільської ради</t>
  </si>
  <si>
    <t>BROLHKBGPP</t>
  </si>
  <si>
    <t>Броварський</t>
  </si>
  <si>
    <t>на території Рожівської сільської ради</t>
  </si>
  <si>
    <t>ZHIRLHKBGPP</t>
  </si>
  <si>
    <t>Житомирський</t>
  </si>
  <si>
    <t xml:space="preserve">на території Оліївської сільської ради </t>
  </si>
  <si>
    <t>MYKLHKBGPP</t>
  </si>
  <si>
    <t>Миколаївський</t>
  </si>
  <si>
    <t>на території Веснянської сільської ради</t>
  </si>
  <si>
    <t>CHERLHKBGPP</t>
  </si>
  <si>
    <t>Черкаський</t>
  </si>
  <si>
    <t>на території Руськополянської сільської ради</t>
  </si>
  <si>
    <t>KROPLNKBGPP</t>
  </si>
  <si>
    <t>м. Кропивницький</t>
  </si>
  <si>
    <t>вул. Байкальська, 124-а</t>
  </si>
  <si>
    <t>ТОВ "ПФ "ЛОТУС"</t>
  </si>
  <si>
    <t>Новомосковський</t>
  </si>
  <si>
    <t>с. Знаменівка</t>
  </si>
  <si>
    <t>вул. Польова, 1В/2</t>
  </si>
  <si>
    <t>MEIBGPP</t>
  </si>
  <si>
    <t>ТОВ "МАСТЕРЕНЕРГО ІНВЕСТ"</t>
  </si>
  <si>
    <t xml:space="preserve">Рівненська  </t>
  </si>
  <si>
    <t>Рівненський</t>
  </si>
  <si>
    <t>на території Шпанівської сільської ради</t>
  </si>
  <si>
    <t>INTERGASBGPP</t>
  </si>
  <si>
    <t>ТОВ "МІЖНАРОДНИЙ ЦЕНТР ГАЗОВИХ ТЕХНОЛОГІЙ"</t>
  </si>
  <si>
    <t>м. Кам"янець-Подільський</t>
  </si>
  <si>
    <t>вул. Нігинське шосе</t>
  </si>
  <si>
    <t>ORILLIDERBPP</t>
  </si>
  <si>
    <t>ПрАТ "ОРІЛЬ - ЛІДЕР"</t>
  </si>
  <si>
    <t>Петриківський</t>
  </si>
  <si>
    <t>с. Єлизаветівка</t>
  </si>
  <si>
    <t>ROKYTSUKCZBGPP</t>
  </si>
  <si>
    <t>ТОВ "РЦЗ"</t>
  </si>
  <si>
    <t>Комплекс з виробництва електричної енергії з біогазу</t>
  </si>
  <si>
    <t>смт. Рокитне</t>
  </si>
  <si>
    <t>SPRATUKRAINABGPP</t>
  </si>
  <si>
    <t>СПрАТ "УКРАЇНА"</t>
  </si>
  <si>
    <t>Доманівський</t>
  </si>
  <si>
    <t>с.Мостове</t>
  </si>
  <si>
    <t>вул.Ю.Гагаріна, буд.22/1</t>
  </si>
  <si>
    <t>ТОВ "Торговий Дім Вімексім"</t>
  </si>
  <si>
    <t>Окнянський</t>
  </si>
  <si>
    <t>смт. Окни</t>
  </si>
  <si>
    <t xml:space="preserve"> смт. Окни, Красноокнянська с/рада, за межами населеного пункту</t>
  </si>
  <si>
    <t>TISECOBGPP</t>
  </si>
  <si>
    <t>ТОВ «ТІС ЕКО»</t>
  </si>
  <si>
    <t>Приморський полігон ТПВ</t>
  </si>
  <si>
    <t>м. Маріуполь</t>
  </si>
  <si>
    <t>TECBGPP</t>
  </si>
  <si>
    <t>ТОВ "Теофіпольська енергетична компанія"</t>
  </si>
  <si>
    <t>Теофіпольський</t>
  </si>
  <si>
    <t>с. Коров"є</t>
  </si>
  <si>
    <t>за межами населеного пункту, Новоставецької сільської ради</t>
  </si>
  <si>
    <t>2 черга</t>
  </si>
  <si>
    <t>вул. Заводська, бул. 21в,</t>
  </si>
  <si>
    <t>EUCHHKCHPP</t>
  </si>
  <si>
    <t>ТОВ "ЧЕРНІГІВСЬКА ГЕНЕРУЮЧА КОМПАНІЯ"</t>
  </si>
  <si>
    <t>Електрогенераторна (когенераційна) установка на біогазі</t>
  </si>
  <si>
    <t>м. Чернігів</t>
  </si>
  <si>
    <t>вул.Інструментальна, буд.14а</t>
  </si>
  <si>
    <t>ТОВ"Юзефо-Миколаївськабіогазовакомпанія"</t>
  </si>
  <si>
    <t>Козятинський</t>
  </si>
  <si>
    <t>с. Широка Гребля</t>
  </si>
  <si>
    <t>вул. Заводська, 4а</t>
  </si>
  <si>
    <t>1 черга полігона ТПВ</t>
  </si>
  <si>
    <t>проспект 1 Травня, 1</t>
  </si>
  <si>
    <t>ТОВ «ЕНЕРГО СІЧ»</t>
  </si>
  <si>
    <t>(електрогенераторна (когенераційна) установка на біогазі</t>
  </si>
  <si>
    <t>Дніпровський</t>
  </si>
  <si>
    <t>Дніпровський р-н, с/рада
Новоолександрівська</t>
  </si>
  <si>
    <t>ТОВ «ВІННИЦЬКА ПТАХОФАБРИКА»</t>
  </si>
  <si>
    <t>(внутрішньогосподарський комплекс з переробки органічної частини відходів
сільськогосподарського виробництва та отриманням біогазу з біомаси рослинного та тваринного походження, у т.ч. дільниця
когенераційної станції №1</t>
  </si>
  <si>
    <t>ТОВ «ДЕМЕТРА БІОЕНЕРГІЯ»</t>
  </si>
  <si>
    <t>Млинівський</t>
  </si>
  <si>
    <t>с. Бокійма</t>
  </si>
  <si>
    <t>комплекс переробки відходів рослинництва та тваринництва в біогаз з виробництвом
електричної енергії вул. Онуфрієнка,1</t>
  </si>
  <si>
    <t xml:space="preserve">ТОВ «КЛІАР ЕНЕРДЖІ-ОДЕСА» </t>
  </si>
  <si>
    <t xml:space="preserve">Виробничий об’єкт електрогенераторної (когенераційної) установки для виробництва
електричної енергії на полігоні ТПВ на території Великодальницької сільської ради Біляївського району Одеської області </t>
  </si>
  <si>
    <t>ТОВ «МІЖНАРОДНИЙ ЦЕНТР ГАЗОВИХ ТЕХНОЛОГІЙ»</t>
  </si>
  <si>
    <t>1 черга біогазової електростанції на полігоні ТПВ</t>
  </si>
  <si>
    <t>вул. Нігинське шосе, 2ж</t>
  </si>
  <si>
    <t>Розміщення</t>
  </si>
  <si>
    <t>AGROTRADEPVSPP</t>
  </si>
  <si>
    <t>СЕС</t>
  </si>
  <si>
    <t>ТОВ "АГРО-ТРЕЙД"</t>
  </si>
  <si>
    <t>Новоукраїнський</t>
  </si>
  <si>
    <t>с.Іванівка</t>
  </si>
  <si>
    <t>ТОВ "Агропромислова компанія ім. О.В.Гіталова"</t>
  </si>
  <si>
    <t>СЕС "Комишувате"</t>
  </si>
  <si>
    <t xml:space="preserve"> с/р Комишуватська</t>
  </si>
  <si>
    <t>ТОВ "Азімут Юг"</t>
  </si>
  <si>
    <t>м.Теплодар</t>
  </si>
  <si>
    <t>пр.Енергетиків, 148</t>
  </si>
  <si>
    <t>ТОВ "Азов Солар"</t>
  </si>
  <si>
    <t>СЕС "Азов Солар"</t>
  </si>
  <si>
    <t>Бердянський</t>
  </si>
  <si>
    <t>на землях Берестівської об"єднаної територіальної громади, за межами населеного пункту</t>
  </si>
  <si>
    <t>HUTA1PVSPP</t>
  </si>
  <si>
    <t>ТОВ "Акванова Гідроресурс"</t>
  </si>
  <si>
    <t>Кам’янецька СЕС</t>
  </si>
  <si>
    <t>Кам’яницька сільська рада, ур.Табла</t>
  </si>
  <si>
    <t>VERYATSYA2PVSPP</t>
  </si>
  <si>
    <t>СЕС "Веряця-2", 1 черга</t>
  </si>
  <si>
    <t>Виноградівський</t>
  </si>
  <si>
    <t>с. Горбки</t>
  </si>
  <si>
    <t>вул.Садова, 14В</t>
  </si>
  <si>
    <t>ТОВ "Аланта-Енерджі"</t>
  </si>
  <si>
    <t>СЕС, 1 черга</t>
  </si>
  <si>
    <t>на землях Обухівської селищної ради, 1 черга</t>
  </si>
  <si>
    <t>СЕС, 2 черга</t>
  </si>
  <si>
    <t>на землях Обухівської селищної ради, 2 черга</t>
  </si>
  <si>
    <t>AI_PVSPP</t>
  </si>
  <si>
    <t>ТОВ "АЛЬТЕН-ІНВЕСТ"</t>
  </si>
  <si>
    <t>смт Тростянець</t>
  </si>
  <si>
    <t>вул. Суворова, 36</t>
  </si>
  <si>
    <t>ТОВ "Альтернативна енергетика Галичини"</t>
  </si>
  <si>
    <t>Стрийський</t>
  </si>
  <si>
    <t>с.Добрівляни</t>
  </si>
  <si>
    <t>ТОВ "Альтернатів Енерджі Сорсес Солар"</t>
  </si>
  <si>
    <t>м. Мерефа</t>
  </si>
  <si>
    <t>м. Мерефа, вул.Ломоносова, 81</t>
  </si>
  <si>
    <t>ТОВ "Альтернативна сонячна енергія"</t>
  </si>
  <si>
    <t>СЕС "Енергопарк сонячних електростанцій"</t>
  </si>
  <si>
    <t>Городенківський</t>
  </si>
  <si>
    <t>м.Городенка</t>
  </si>
  <si>
    <t>вул. Винниченка, 143</t>
  </si>
  <si>
    <t>ТОВ "Альтген"</t>
  </si>
  <si>
    <t>"Віньковецька СЕС", 1 черга</t>
  </si>
  <si>
    <t>Віньковецький</t>
  </si>
  <si>
    <t>смт. Віньківці</t>
  </si>
  <si>
    <t>за межами населеного пункту</t>
  </si>
  <si>
    <t>"Віньковецька СЕС", 2 черга</t>
  </si>
  <si>
    <t>ТОВ "Науково-технічний центр відновлювальної енергетики "Альтернатива"</t>
  </si>
  <si>
    <t>СЕС "Молодіжне"</t>
  </si>
  <si>
    <t>смт. Молодіжне</t>
  </si>
  <si>
    <t>смт. Молодіжне, вул.Будівельників, 5</t>
  </si>
  <si>
    <t>ТОВ "Альтен -Тростянець"</t>
  </si>
  <si>
    <t>СЕС, 1-2 пускові комплекси</t>
  </si>
  <si>
    <t>Тростянецький</t>
  </si>
  <si>
    <t>смт. Тростянець, вул.Садова, 17</t>
  </si>
  <si>
    <t>СЕС, 3 пусковий комплекс</t>
  </si>
  <si>
    <t>СЕС, 4 пусковий комплекс</t>
  </si>
  <si>
    <t>ТОВ "АСД ЛЕКС"</t>
  </si>
  <si>
    <t>СЕС "Лебедівка"</t>
  </si>
  <si>
    <t>Вишгородський</t>
  </si>
  <si>
    <t>Лебедівська с/р</t>
  </si>
  <si>
    <t>ТОВ "А-Сонячна Енергія"</t>
  </si>
  <si>
    <t>Бершадський</t>
  </si>
  <si>
    <t>с.Війтівка, вул.Соборна, 204</t>
  </si>
  <si>
    <t>ТОВ "Альфа-Енергія"</t>
  </si>
  <si>
    <t>СЕС "Чернелиця"</t>
  </si>
  <si>
    <t>смт. Чернелиця, вул. Селянська, 65</t>
  </si>
  <si>
    <t>СЕС "Трофанівка"</t>
  </si>
  <si>
    <t>Снятинський</t>
  </si>
  <si>
    <t>на території Балинцівської с/р, за межами села Трофанівка</t>
  </si>
  <si>
    <t>ПП "Арт-Енерго"</t>
  </si>
  <si>
    <t>СЕС "Вороців"</t>
  </si>
  <si>
    <t>Яворівський</t>
  </si>
  <si>
    <t>Яворівський р-н, с. Вороців</t>
  </si>
  <si>
    <t>VSESPVSPP</t>
  </si>
  <si>
    <t>ТОВ "АТЛАС ЕНЕРДЖІ"</t>
  </si>
  <si>
    <t>Високопільська СЕС, 1 черга</t>
  </si>
  <si>
    <t>смт Високопілля</t>
  </si>
  <si>
    <t>VSES_2PVSPP</t>
  </si>
  <si>
    <t>Високопільська СЕС, 2 черга</t>
  </si>
  <si>
    <t>ТОВ "Ай Бі Сі"</t>
  </si>
  <si>
    <t>Дергачівський</t>
  </si>
  <si>
    <t>смт.Пересічне, вул.Сумський шлях, 1к</t>
  </si>
  <si>
    <t>BI_ENERDGI_PVSPP</t>
  </si>
  <si>
    <t>ТОВ "БІ ЕНЕРДЖЕТІКС"</t>
  </si>
  <si>
    <t>смт Мирне</t>
  </si>
  <si>
    <t>ТОВ "Білгород-Дністровський Солар 1"</t>
  </si>
  <si>
    <t>м.Білгород-Дністровський, смт.Сергіївка, вул.Транспортна, 3</t>
  </si>
  <si>
    <t>KURIANY_V_1PVSPP</t>
  </si>
  <si>
    <t>СЕС, 5 черга 1 пусковий комплекс</t>
  </si>
  <si>
    <t>с.Куряни, вул. Бережанка, 57</t>
  </si>
  <si>
    <t>ТОВ "Бориславська сонячна станція"</t>
  </si>
  <si>
    <t>м.Борислав, вул.Дрогобицька</t>
  </si>
  <si>
    <t>BOLSOLARPVSPP</t>
  </si>
  <si>
    <t>ПРАТ «БОЛГРАД СОЛАР»</t>
  </si>
  <si>
    <t>Болградський</t>
  </si>
  <si>
    <t>с. Залізничне</t>
  </si>
  <si>
    <t>ТОВ "БС Енерджі"</t>
  </si>
  <si>
    <t>СЕС "СЕ-4"</t>
  </si>
  <si>
    <t>на території Тиглайської с/р, за межами населеного пункту</t>
  </si>
  <si>
    <t>ТОВ "Будівельне управління №7"</t>
  </si>
  <si>
    <t>на території Бохоницької сільської ради</t>
  </si>
  <si>
    <t>VELIHENPVSPP</t>
  </si>
  <si>
    <t>ТОВ "ВЕЛИГЕН СОЛАР"</t>
  </si>
  <si>
    <t>Генічівський</t>
  </si>
  <si>
    <t>смт. Новоолексіївка</t>
  </si>
  <si>
    <t>вул.Комаровська, 72</t>
  </si>
  <si>
    <t>VELITONPVSPP</t>
  </si>
  <si>
    <t>ТОВ "ВЕЛИТОН СОЛАР"</t>
  </si>
  <si>
    <t>вул.Комаровська, 70</t>
  </si>
  <si>
    <t>WOGNERUBPVSPP</t>
  </si>
  <si>
    <t>ТОВ "ВЕСТ ОЙЛ ГРУП"</t>
  </si>
  <si>
    <t>Біляївський</t>
  </si>
  <si>
    <t>територія Нерубайської сільради, автодорога Киїа-Одеса, 459 км (ліворуч)</t>
  </si>
  <si>
    <t>ТОВ "Вест Солар"</t>
  </si>
  <si>
    <t>Петрівський</t>
  </si>
  <si>
    <t>смт. Балахівка</t>
  </si>
  <si>
    <t>вул. Олександрівська, 2</t>
  </si>
  <si>
    <t>ТОВ "Відновлювальна енергія Запоріжжя"</t>
  </si>
  <si>
    <t>за VIII мікрорайоном житлового масиву "Південний"</t>
  </si>
  <si>
    <t>PYSARIVKAPVSPP</t>
  </si>
  <si>
    <t>ТОВ "ВІН СОЛАР"</t>
  </si>
  <si>
    <t>Писарівська СЕС, 1 черга</t>
  </si>
  <si>
    <t>Калинівський</t>
  </si>
  <si>
    <t>с. Писарівка</t>
  </si>
  <si>
    <t>вул.Лісова, 2</t>
  </si>
  <si>
    <t>Писарівська СЕС, 2 черга</t>
  </si>
  <si>
    <t>Писарівська СЕС, 3 черга</t>
  </si>
  <si>
    <t>VESKYKPVSPP</t>
  </si>
  <si>
    <t>ТОВ "ВІННИЦЯ-ЕНЕРГОСЕРВІС"</t>
  </si>
  <si>
    <t>Могилів-Подільський</t>
  </si>
  <si>
    <t>с. Кукавка</t>
  </si>
  <si>
    <t>VINSOLAR1PVSPP</t>
  </si>
  <si>
    <t>ТОВ "ВінСолар"</t>
  </si>
  <si>
    <t>Піщанський</t>
  </si>
  <si>
    <t>с. Трибусівка, 1 черга</t>
  </si>
  <si>
    <t>VINSOLAR2PVSPP</t>
  </si>
  <si>
    <t xml:space="preserve"> с. Трибусівка, 2 черга</t>
  </si>
  <si>
    <t>VINSOLAR3-1PVSPP</t>
  </si>
  <si>
    <t>СЕС, 1 пусковий комплекс, 3 черга</t>
  </si>
  <si>
    <t>с. Трибусівка, 1 пусковий комплекс, 3 черга</t>
  </si>
  <si>
    <t>VINSOLAR3-2PVSPP</t>
  </si>
  <si>
    <t>СЕС, 2 пусковий комплекс, 3 черга</t>
  </si>
  <si>
    <t>с. Трибусівка, вул.Леніна, 7, 2 пусковий комплекс, 3 черга</t>
  </si>
  <si>
    <t>ТОВ "Віт Енерджі Ріпна"</t>
  </si>
  <si>
    <t>СЕС "Ріпна Солар"</t>
  </si>
  <si>
    <t>Волочиський</t>
  </si>
  <si>
    <t>с.Ріпна, вул.Центральна (вул.Щорса) та с/р Федірківська</t>
  </si>
  <si>
    <t>ТОВ "Віта Солар"</t>
  </si>
  <si>
    <t>Вітовський</t>
  </si>
  <si>
    <t>с.Калинівка, вул.Польова № 4 (за межами населеного пункту)</t>
  </si>
  <si>
    <t>ТОВ "СЕС Виноградово"</t>
  </si>
  <si>
    <t>Олешківський</t>
  </si>
  <si>
    <t>за межами населених пунктів в адміністративних межах Виноградівської сільської ради</t>
  </si>
  <si>
    <t>СЕС, 3 черга</t>
  </si>
  <si>
    <t>с.Виноградове, інше за межами населених пунктів в адміністративних межах Виноградівської с/р</t>
  </si>
  <si>
    <t>в межах селища Новий Етап, на території селищної ради Асканія Нова</t>
  </si>
  <si>
    <t>ТОВ "Волар Санлайт"</t>
  </si>
  <si>
    <t>Криничанський</t>
  </si>
  <si>
    <t>на території Криничанської селищної ради</t>
  </si>
  <si>
    <t>ТОВ "Воскресенське-Терра"</t>
  </si>
  <si>
    <t>с.Зайчівське</t>
  </si>
  <si>
    <t>ТОВ "Восход Солар"</t>
  </si>
  <si>
    <t>смт Березанка</t>
  </si>
  <si>
    <t>ТОВ "Ганська СЕС"</t>
  </si>
  <si>
    <t>СЕС "Ганська"</t>
  </si>
  <si>
    <t>Бердичівський</t>
  </si>
  <si>
    <t>Великонизгірецька с/р, за межами населеного пункту</t>
  </si>
  <si>
    <t>ПП "Галенергопостач"</t>
  </si>
  <si>
    <t>Підгаєцький</t>
  </si>
  <si>
    <t>с.Старе Місто (Голендра)</t>
  </si>
  <si>
    <t>вул. Литвинівська, 30 с</t>
  </si>
  <si>
    <t>ТОВ "Гелікон-С"</t>
  </si>
  <si>
    <t>СЕС, 4 черга</t>
  </si>
  <si>
    <t>с.Виноградове, за межами населених пунктів в адміністративних межах Виноградівської с/р</t>
  </si>
  <si>
    <t>HEPVSPP</t>
  </si>
  <si>
    <t>ТОВ "ГЕЛІОС ЕНЕРДЖІ"</t>
  </si>
  <si>
    <t>с. Радча, вул. Тракторна, 23</t>
  </si>
  <si>
    <t>ТОВ "Геліос-ІФ"</t>
  </si>
  <si>
    <t>с. Радча, вул. Тракторна, 21</t>
  </si>
  <si>
    <t>ТОВ "Геліос Групп "Черніїв-1"</t>
  </si>
  <si>
    <t>с.Черніїв, ур.Фальчі</t>
  </si>
  <si>
    <t>ТОВ "Геліос Групп "Черніїв-2"</t>
  </si>
  <si>
    <t>с.Черніїв, ур. "Фальчі"</t>
  </si>
  <si>
    <t>ТОВ "Генерація Плюс"</t>
  </si>
  <si>
    <t>Ямпільський</t>
  </si>
  <si>
    <t>на території Дзигівської сільської ради</t>
  </si>
  <si>
    <t>VILSHANSKAPVSPP</t>
  </si>
  <si>
    <t>ТОВ "ГІДРОЕНЕРГОІНВЕСТ"</t>
  </si>
  <si>
    <t>Вільшанський</t>
  </si>
  <si>
    <t>смт.Вільшанка</t>
  </si>
  <si>
    <t>на території Вільшанської с/р</t>
  </si>
  <si>
    <t>HUTA3PVSPP</t>
  </si>
  <si>
    <t>СЕС "Гута-3"</t>
  </si>
  <si>
    <t>на території Кам"яницької с/р, за межами населеного пункту</t>
  </si>
  <si>
    <t>CHORNOMYN1TPVSPP</t>
  </si>
  <si>
    <t>ТОВ "Гранд Солар"</t>
  </si>
  <si>
    <t>Чорноминська СЕС, 1 пусковий комплекс 1 черги</t>
  </si>
  <si>
    <t>с. Чорномин</t>
  </si>
  <si>
    <t>CHORNOMYN2TPVSPP</t>
  </si>
  <si>
    <t>Чорноминська СЕС, 2 пусковий комплекс 1 черги</t>
  </si>
  <si>
    <t xml:space="preserve">с. Чорномин </t>
  </si>
  <si>
    <t>CHORNOMYN3TPVSPP</t>
  </si>
  <si>
    <t>Чорноминська СЕС, 3-4 пусковий комплекс 1 черги</t>
  </si>
  <si>
    <t>2CHORNOMYNPVSPP</t>
  </si>
  <si>
    <t>Чорноминська СЕС-2</t>
  </si>
  <si>
    <t>за межами населеного пункту с.Чорномин</t>
  </si>
  <si>
    <t>GASPOROGYPVSPP</t>
  </si>
  <si>
    <t>ТОВ "ГРІН АГРО СЕРВІС"</t>
  </si>
  <si>
    <t>с. Пороги</t>
  </si>
  <si>
    <t>ТОВ "Грінваттех"</t>
  </si>
  <si>
    <t>Зіньківська с/р, за межами населеного пункту с.Станіславівка</t>
  </si>
  <si>
    <t>ТОВ "Грінвей Енерджі"</t>
  </si>
  <si>
    <t>Генічеський</t>
  </si>
  <si>
    <t>с.Малинівка, Рівненської с/р,</t>
  </si>
  <si>
    <t>ТОВ "Грін Електра"</t>
  </si>
  <si>
    <t>СЕС "Яришів"</t>
  </si>
  <si>
    <t>на території Яришівської с/р (за межами населеного пункту)</t>
  </si>
  <si>
    <t>ТОВ "Грін Електра 1"</t>
  </si>
  <si>
    <t>СЕС "Завалля"</t>
  </si>
  <si>
    <t xml:space="preserve">Гайворонський </t>
  </si>
  <si>
    <t>територія Завалівської селищної ради (за межами населених пунктів)</t>
  </si>
  <si>
    <t>15,08,2019</t>
  </si>
  <si>
    <t>ТОВ "Грінен"</t>
  </si>
  <si>
    <t>СЕС "Грінен"</t>
  </si>
  <si>
    <t>Єланецький</t>
  </si>
  <si>
    <t xml:space="preserve"> на території Єланецької с/р (за межами населеного пункту)</t>
  </si>
  <si>
    <t>ТОВ "Грін Енерго"</t>
  </si>
  <si>
    <t>Магдалинівський</t>
  </si>
  <si>
    <t>на території Заплавської сільської ради, 1 черга</t>
  </si>
  <si>
    <t>на території Заплавської сільської ради, 2 черга</t>
  </si>
  <si>
    <t>ФГ "Грін Терра"</t>
  </si>
  <si>
    <t>Згурівський</t>
  </si>
  <si>
    <t>смт.Згурівка, вул.Залізнична</t>
  </si>
  <si>
    <t>ТОВ "Грін Тек"</t>
  </si>
  <si>
    <t>Кіровоградський</t>
  </si>
  <si>
    <t>с.Могутнє, вул.Садова 33-а</t>
  </si>
  <si>
    <t>ТОВ "Грін Тек Південь"</t>
  </si>
  <si>
    <t>Новобузький</t>
  </si>
  <si>
    <t>в межах території Новобузької міської ради</t>
  </si>
  <si>
    <t>ТОВ "ГРК"</t>
  </si>
  <si>
    <t>с. Соколове</t>
  </si>
  <si>
    <t>ТОВ "Гуд Енерджи"</t>
  </si>
  <si>
    <t>СЕС "Понятівка"</t>
  </si>
  <si>
    <t>с.Понятівка, вул.Горіхова (Будьоного), 45</t>
  </si>
  <si>
    <t>ТОВ "СЕС Дібровка"</t>
  </si>
  <si>
    <t>Бобринецький</t>
  </si>
  <si>
    <t>за межами населеного пункту на території Бобринецької міської ради</t>
  </si>
  <si>
    <t>ТОВ "Димерка-Солар"</t>
  </si>
  <si>
    <t>СЕС "Димерська СЕС-4"</t>
  </si>
  <si>
    <t>смт. Велика Димерка</t>
  </si>
  <si>
    <t>ТОВ "Димерська сонячна електростанція- 1"</t>
  </si>
  <si>
    <t>СЕС "Димерська СЕС-1"</t>
  </si>
  <si>
    <t>смт.Велика Димерка</t>
  </si>
  <si>
    <t>ТОВ "Димерська сонячна електростанція- 2"</t>
  </si>
  <si>
    <t>СЕС "Димерська СЕС-2"</t>
  </si>
  <si>
    <t>ТОВ "Димерська сонячна електростанція- 3"</t>
  </si>
  <si>
    <t>СЕС "Димерська СЕС-3"</t>
  </si>
  <si>
    <t>ТОВ "Дніпро Енерго"</t>
  </si>
  <si>
    <t>СЕС "Межиріч"</t>
  </si>
  <si>
    <t>Павлоградський</t>
  </si>
  <si>
    <t>на землях Межиріцької селищної ради</t>
  </si>
  <si>
    <t>Солонянський</t>
  </si>
  <si>
    <t>територія Солонянської селищної ради</t>
  </si>
  <si>
    <t>ТОВ "Дніпро Енергоінвест"</t>
  </si>
  <si>
    <t>територія Орлівщинської с/р</t>
  </si>
  <si>
    <t>ТОВ "Доброслав-Солар"</t>
  </si>
  <si>
    <t>Літинський</t>
  </si>
  <si>
    <t>с.Уладівка, вул.Заводська, 5</t>
  </si>
  <si>
    <t>DUNAYSES1PVSPP</t>
  </si>
  <si>
    <t>ТОВ "ДУНАЙСЬКА CЕC-1"</t>
  </si>
  <si>
    <t>Арцизський</t>
  </si>
  <si>
    <t>с. Павлівка</t>
  </si>
  <si>
    <t>DUNAYSES2PVSPP</t>
  </si>
  <si>
    <t>ТОВ "ДУНАЙСЬКА СЕС-2"</t>
  </si>
  <si>
    <t>ТОВ "Захід Агроенергоінвест"</t>
  </si>
  <si>
    <t>Теребовлянський</t>
  </si>
  <si>
    <t>с.Соколів, вул.Шевченка, буд.39</t>
  </si>
  <si>
    <t>ПАТ "ДТЕК Західенерго"</t>
  </si>
  <si>
    <t>Ладижинська СЕС</t>
  </si>
  <si>
    <t>м. Ладижин, вул. Наконечного, 173 ж</t>
  </si>
  <si>
    <t>ТОВ "ЗАС Енергосервіс"</t>
  </si>
  <si>
    <t>ТОВ "З-Енерджі"</t>
  </si>
  <si>
    <t>с.Клинці, на території Клинцівської с/р, за межами населеного пункту</t>
  </si>
  <si>
    <t>СТОВ "Зоря"</t>
  </si>
  <si>
    <t>м.Новоукраїнка, вул. Курчатова, земельна ділянка 17</t>
  </si>
  <si>
    <t>ПП "Зоря 2003"</t>
  </si>
  <si>
    <t>м. Антрацит</t>
  </si>
  <si>
    <t>EVDAPVSPP</t>
  </si>
  <si>
    <t>ТОВ "ЕВДА ЕНЕРГО"</t>
  </si>
  <si>
    <t>Любашівський</t>
  </si>
  <si>
    <t>СЕС, на території Маловасилівської с.ради</t>
  </si>
  <si>
    <t>ТОВ "Еко-Альтеп"</t>
  </si>
  <si>
    <t>СЕС,1 та 3 черги</t>
  </si>
  <si>
    <t>смт. Солоне, вул. Бєльченко братів, 2-А</t>
  </si>
  <si>
    <t>NADPVSPP</t>
  </si>
  <si>
    <t>ТОВ "Екоенергосервіс Дніпро"</t>
  </si>
  <si>
    <t>СЕС-1</t>
  </si>
  <si>
    <t>на території Солонянської селищної ради</t>
  </si>
  <si>
    <t>NADIIV2PVSPP</t>
  </si>
  <si>
    <t>СЕС-2</t>
  </si>
  <si>
    <t>СЕС-3, 1 та 2 черги</t>
  </si>
  <si>
    <t>3чергаСЕС-3</t>
  </si>
  <si>
    <t>с-ще Надіївка, вул. Шосейна, 1-Є</t>
  </si>
  <si>
    <t>EKOVENPVSPP</t>
  </si>
  <si>
    <t>ТОВ "ЕКОСОЛАР ІНВЕСТ"</t>
  </si>
  <si>
    <t>смт Вендичани</t>
  </si>
  <si>
    <t>ТОВ "Екотехнік Велика Добронь"</t>
  </si>
  <si>
    <t>с.Велика Добронь, урочище "Фегердомб"</t>
  </si>
  <si>
    <t xml:space="preserve">с.Велика Добронь, урочище "Фегердомб" </t>
  </si>
  <si>
    <t>Барський</t>
  </si>
  <si>
    <t>м.Бар, вул. Арсенальна, 17Д</t>
  </si>
  <si>
    <t>EDU1PVSPP</t>
  </si>
  <si>
    <t>ТОВ "ЕКОТЕХНІК-ДУНАЇВЦІ"</t>
  </si>
  <si>
    <t>Дунаєвецький</t>
  </si>
  <si>
    <t>за межами населених пунктів Дем"янківецької сільської ради</t>
  </si>
  <si>
    <t>EDU2PVSPP</t>
  </si>
  <si>
    <t>на території Дем"янківецької сільської ради, за межами с.Дем"янківці</t>
  </si>
  <si>
    <t>EDU3PVSPP</t>
  </si>
  <si>
    <t>СЕС "Дунаївці-3"</t>
  </si>
  <si>
    <t>с.Дем"янківці, вул.Весела, 15/2</t>
  </si>
  <si>
    <t>EMPVSPP</t>
  </si>
  <si>
    <t>ТОВ "ЕКОТЕХНІК МИНЬКІВЦІ"</t>
  </si>
  <si>
    <t>с. Миньківці</t>
  </si>
  <si>
    <t>вул. Молодіжна, 42</t>
  </si>
  <si>
    <t>СЕС, 1 пусковий комплекс 2 черги</t>
  </si>
  <si>
    <t>СЕС, 2 пусковий комплекс 2 черги</t>
  </si>
  <si>
    <t>ТОВ "Екотехнік Нікополь"</t>
  </si>
  <si>
    <t>м.Нікополь, вул.Електрометалургів, 310-а</t>
  </si>
  <si>
    <t>ENUPVSPP</t>
  </si>
  <si>
    <t>ТОВ "ЕКОТЕХНІК-НОВА УШИЦЯ"</t>
  </si>
  <si>
    <t>Новоушицький</t>
  </si>
  <si>
    <t>с.Слобідка, вул.Головна 1а</t>
  </si>
  <si>
    <t>ТОВ "Еко Сезар"</t>
  </si>
  <si>
    <t>Уманський</t>
  </si>
  <si>
    <t>с.Родниківка, вул.Гагаріна, 2-б, на території Родниківської сільської ради</t>
  </si>
  <si>
    <t>ТОВ "Еко-Фотуре "Грушка"</t>
  </si>
  <si>
    <t>Кам"янець-Подільський р-н</t>
  </si>
  <si>
    <t>с.Завалля, вул.Тернопільська, 10</t>
  </si>
  <si>
    <t>ТОВ "Еко-Фотуре"</t>
  </si>
  <si>
    <t>СЕС "Рихта", 1 черга</t>
  </si>
  <si>
    <t>с.Рихта, вул.Молодіжна, 10-а</t>
  </si>
  <si>
    <t>СЕС "Рихта", 2 черга</t>
  </si>
  <si>
    <t>EKOTECH1PVSPP</t>
  </si>
  <si>
    <t>ТОВ "ЕКОТЕХНІК-ЯРМОЛИНЦІ"</t>
  </si>
  <si>
    <t>Ярмолинський</t>
  </si>
  <si>
    <t>с. Ясенівка, вул. Ватутіна, буд.19</t>
  </si>
  <si>
    <t>EKOTECH2PVSPP</t>
  </si>
  <si>
    <t>ТОВ "Електросолар"</t>
  </si>
  <si>
    <t>с.Велика Киріївка, вул. Зарічна, 88-г</t>
  </si>
  <si>
    <t>ТОВ "Енергетична компанія "Сонячне поле"</t>
  </si>
  <si>
    <t>СЕС "Щирець-1"</t>
  </si>
  <si>
    <t>СЕС "Щирець-1", Львівська обл., Пустомитівський р-н, смт.Щирець</t>
  </si>
  <si>
    <t>СЕС "Щирець-2", 1 черга</t>
  </si>
  <si>
    <t>СЕС "Щирець-2", Львівська обл., Пустомитівський р-н, смт.Щирець, 1 черга</t>
  </si>
  <si>
    <t>СЕС "Щирець-2", 2 черга</t>
  </si>
  <si>
    <t>СЕС "Щирець-2", Львівська обл., Пустомитівський р-н, смт.Щирець, 2 черга</t>
  </si>
  <si>
    <t>СЕС "Семенівка"</t>
  </si>
  <si>
    <t>СЕС "Семенівка", Львівська обл., Пустомитівський р-н, Семенівська сільська рада (за межами населених пуктів)</t>
  </si>
  <si>
    <t>ТОВ "Енергія Галича"</t>
  </si>
  <si>
    <t>СЕС "Енергія Галича"</t>
  </si>
  <si>
    <t>СЕС "Енергія Галича", Івано-Франківська обл., Галицький р-н, с.Шевченкове</t>
  </si>
  <si>
    <t>ТОВ "Енергія-СВ"</t>
  </si>
  <si>
    <t>СЕС, Закарпатська обл., Ужгородський р-н, Тийгласька сільська рада</t>
  </si>
  <si>
    <t>ТОВ "Енергія Сонця"</t>
  </si>
  <si>
    <t>СЕС "Сонячна"</t>
  </si>
  <si>
    <t>СЕС "Сонячна", Кіровоградська обл., Долинський р-н, смт Молодіжне, вул. Будівельників, 9</t>
  </si>
  <si>
    <t>ТОВ "Енергія Сонця-Нова Ушиця"</t>
  </si>
  <si>
    <t>Хмельницька обл., Новоушицький р-н, за межами населеного пункту, 1 черга</t>
  </si>
  <si>
    <t>СЕС, Хмельницька обл., Новоушицький р-н, Новоушицька с/р, 2 черга 1 пусковий комплекс</t>
  </si>
  <si>
    <t>ТОВ "Енергетична компанія "Солар Капітал"</t>
  </si>
  <si>
    <t>СЕС, м.Херсон, територія Херсонської міської ради, на земельній ділянці (кадастровий номер 6510100000:01:001:1196)</t>
  </si>
  <si>
    <t>СЕС, м.Херсон, територія Херсонської міської ради, на земельній ділянці (кадастрові номери 6510100000:01:001:1241, 6510100000:01:001:1243)</t>
  </si>
  <si>
    <t>EG_NAZ_PVSPP</t>
  </si>
  <si>
    <t>ПІДПРИЄМСТВО "ЕНЕРГОГАРАНТ" ТОВ</t>
  </si>
  <si>
    <t>с. Селище</t>
  </si>
  <si>
    <t>GALZHB2PVSPP</t>
  </si>
  <si>
    <t>ТОВ "ЕНЕРГОІНВЕСТ"</t>
  </si>
  <si>
    <t>СЕС Гальжбіївка-2</t>
  </si>
  <si>
    <t>с. Біла</t>
  </si>
  <si>
    <t>GALZHBPVSPP</t>
  </si>
  <si>
    <t>Гальжбіївська СЕС</t>
  </si>
  <si>
    <t>SLOBODAPVSPP</t>
  </si>
  <si>
    <t>Слобода-Бушанська СЕС</t>
  </si>
  <si>
    <t>VOLCHPVSPP</t>
  </si>
  <si>
    <t>СЕС "Вищеольчидаївська"</t>
  </si>
  <si>
    <t>Мурованокуриловецький</t>
  </si>
  <si>
    <t>с. Вищеольчедаїв</t>
  </si>
  <si>
    <t>ТОВ "Енергопарк Поділля"</t>
  </si>
  <si>
    <t>СЕС "Лісові Гринівці" 1-черга</t>
  </si>
  <si>
    <t>Хмельницький</t>
  </si>
  <si>
    <t>с.Лісові Гринівці</t>
  </si>
  <si>
    <t>вул. Степана Бандери, 27/1, 27/3, 27/4</t>
  </si>
  <si>
    <t>СЕС "Лісові Гринівці" 2-черга</t>
  </si>
  <si>
    <t>ТОВ "Енергопарк "Яворів"</t>
  </si>
  <si>
    <t>СЕС "Яворів-1"</t>
  </si>
  <si>
    <t>с.Терновиця</t>
  </si>
  <si>
    <t>вул.Приозерна, 2</t>
  </si>
  <si>
    <t>ТОВ "Енергопостач-Плюс"</t>
  </si>
  <si>
    <t>Енергетичні поля СЕС Терновиця 2 та 4</t>
  </si>
  <si>
    <t>Енергетичні поля СЕС Терновиця 1 та 3</t>
  </si>
  <si>
    <t>ТОВ "Енергосервіс +"</t>
  </si>
  <si>
    <t xml:space="preserve"> Чумаківська сільська рада</t>
  </si>
  <si>
    <t>1-3 черги СЕС</t>
  </si>
  <si>
    <t xml:space="preserve"> Криничанський</t>
  </si>
  <si>
    <t>територія Криничанської с/р</t>
  </si>
  <si>
    <t>KOPAIHORODPVSPP</t>
  </si>
  <si>
    <t>ТОВ "ЕНЕРГОСОЛАР ПРО"</t>
  </si>
  <si>
    <t>на землях Копайгородської сільської ради</t>
  </si>
  <si>
    <t>ТОВ "Енерджи Вуд"</t>
  </si>
  <si>
    <t>СЕС "Новокондакове"</t>
  </si>
  <si>
    <t>Снігурівський</t>
  </si>
  <si>
    <t>на території Нововасилівської с/р</t>
  </si>
  <si>
    <t>СЕС "Базальтова"</t>
  </si>
  <si>
    <t>м.Снігурівка</t>
  </si>
  <si>
    <t>вул. Суворова, 1-В</t>
  </si>
  <si>
    <t>ТОВ "Енерджі Рей"</t>
  </si>
  <si>
    <t>СЕС, Дніпропетровська обл., Дніпровський р-н, територія Любимівської с/р</t>
  </si>
  <si>
    <t>ТОВ "Енерджі Солар"</t>
  </si>
  <si>
    <t xml:space="preserve"> м.Жовті Води</t>
  </si>
  <si>
    <t>вул.Маяковського,137А</t>
  </si>
  <si>
    <t>ТЗОВ "Енерджі Спейс"</t>
  </si>
  <si>
    <t>"Енергетичні поля СЕС Терновиця Енерджі 1"</t>
  </si>
  <si>
    <t>"Енергетичні поля СЕС Терновиця Енерджі 2"</t>
  </si>
  <si>
    <t>ТОВ "Енерджі Стрім"</t>
  </si>
  <si>
    <t>СЕС "Бохни"</t>
  </si>
  <si>
    <t>Летичівський</t>
  </si>
  <si>
    <t>на землях Грушковецької с/р</t>
  </si>
  <si>
    <t>ТОВ "Енерджи Про"</t>
  </si>
  <si>
    <t>СЕС "Киселівка"</t>
  </si>
  <si>
    <t>с .Киселівка</t>
  </si>
  <si>
    <t>вул. Освітянська, 108</t>
  </si>
  <si>
    <t>СЕС "Миролюбівка"</t>
  </si>
  <si>
    <t xml:space="preserve"> Миролюбівська сільська рада , "Майновий комплекс №9"</t>
  </si>
  <si>
    <t>ТОВ "Енерджи Солар"</t>
  </si>
  <si>
    <t>Дніпропетровський</t>
  </si>
  <si>
    <t>Олександрівська сільська рада</t>
  </si>
  <si>
    <t>на території Олександрівської сільської ради</t>
  </si>
  <si>
    <t>1 черга СЕС</t>
  </si>
  <si>
    <t>територія Слобожанської селищної рад</t>
  </si>
  <si>
    <t>ТОВ "Еней Солар"</t>
  </si>
  <si>
    <t>с.Черніїв</t>
  </si>
  <si>
    <t xml:space="preserve"> ур. "За цвинтарем"</t>
  </si>
  <si>
    <t>ТОВ "Енсоль"</t>
  </si>
  <si>
    <t>вул. Довбуша, буд.76</t>
  </si>
  <si>
    <t>ТОВ "ЕТГ Солар 1"</t>
  </si>
  <si>
    <t>м.Жовті Води</t>
  </si>
  <si>
    <t>вул.Козакова, 4</t>
  </si>
  <si>
    <t>SE3_1-3PVSPP</t>
  </si>
  <si>
    <t>ТОВ "ЄВРОІМЕКС"</t>
  </si>
  <si>
    <t>СЕС, 1-3 черги</t>
  </si>
  <si>
    <t>с.Тийглаш</t>
  </si>
  <si>
    <t>(за межами населеного пункту)</t>
  </si>
  <si>
    <t>SE3_4-10PVSPP</t>
  </si>
  <si>
    <t>СЕС, 5-6 черги</t>
  </si>
  <si>
    <t>СЕС, 7 черга</t>
  </si>
  <si>
    <t>СЕС, 8 черга</t>
  </si>
  <si>
    <t>СЕС, 9-10 черга</t>
  </si>
  <si>
    <t>EVRVENOPVSPP</t>
  </si>
  <si>
    <t>ТОВ "ЄВРОСОЛАР"</t>
  </si>
  <si>
    <t>СЕС, Вінницька обл., Могилів-Подільський р-н, смт Вендичани</t>
  </si>
  <si>
    <t>IMPERIALPVSPP</t>
  </si>
  <si>
    <t>ТОВ "ІМПЕРІАЛ ЕНЕРГО"</t>
  </si>
  <si>
    <t>на території Козлівської сільради</t>
  </si>
  <si>
    <t>IMPERIAL_2PVSPP</t>
  </si>
  <si>
    <t>с.Козлів</t>
  </si>
  <si>
    <t>вул.Тропініна, 27А/1</t>
  </si>
  <si>
    <t>ТОВ "Імпульс-Іва"</t>
  </si>
  <si>
    <t>Коломийський</t>
  </si>
  <si>
    <t>смт Отинія</t>
  </si>
  <si>
    <t>вул.Шевченка, земельна ділянка, 68</t>
  </si>
  <si>
    <t>ТОВ "Інвестмен Енерджі Компані"</t>
  </si>
  <si>
    <t>СЕС "Луквиця", Івано-Франківська обл, Богородчанський р-н, с.Луквиця</t>
  </si>
  <si>
    <t>ТОВ "Індустріальний парк Мироцьке"</t>
  </si>
  <si>
    <t>СЕС, Київська обл., Києво-Святошинський р-н., на території Мироцької сільської ради</t>
  </si>
  <si>
    <t>ТОВ "Інсолар"</t>
  </si>
  <si>
    <t>СЕС, Миколаївська обл., Вознесенський р-н, в межах Бузької сільської ради (за межами населеного пункту)</t>
  </si>
  <si>
    <t>HUTA2PVSPP</t>
  </si>
  <si>
    <t>ТОВ "ІНТЕРЕНЕРДЖІ"</t>
  </si>
  <si>
    <t>СЕС Гута-2</t>
  </si>
  <si>
    <t>розт.на урочищі Табла за межами населеного пункту на території Кам"яницької с/р, .</t>
  </si>
  <si>
    <t>VERYATSYA1PVSPP</t>
  </si>
  <si>
    <t>СЕС "Веряця-1", 1 черга</t>
  </si>
  <si>
    <t>вул.Садова, 14Б</t>
  </si>
  <si>
    <t>BUDYLIV_PVSPP</t>
  </si>
  <si>
    <t>ТОВ "ІНФІНІТІ ЕНЕРДЖІ"</t>
  </si>
  <si>
    <t>СЕС Хутір-Будилів</t>
  </si>
  <si>
    <t>СЕС Хутір-Будилів, Івано-Франківська обл., Снятинський р-н, с.Хутір- Будилів, вул.Баронська, б/н</t>
  </si>
  <si>
    <t>ТОВ "С-Капітель"</t>
  </si>
  <si>
    <t>Івано-Франківська обл., Богородчанський р-н, с.Монастирчани, урочище "За рікою", буд.1</t>
  </si>
  <si>
    <t>СЕС "Монастирчани-2"</t>
  </si>
  <si>
    <t>СЕС "Монастирчани-2", Івано-Франківська обл., Богородчанський р-н, с.Монастирчани, урочище "За рікою", 2</t>
  </si>
  <si>
    <t>СЕС "Монастирчани 3"</t>
  </si>
  <si>
    <t>СЕС "Монастирчани 3", Івано-Франківська обл., Богородчанський р-н, с. Монастирчани (урочище "За рікою") Монастирчанська сільська рада</t>
  </si>
  <si>
    <t>ТОВ "Кодима Енерджи"</t>
  </si>
  <si>
    <t>СЕС "ФЕС Кодима"</t>
  </si>
  <si>
    <t>СЕС "ФЕС Кодима", Миколаївська обл., Кривоозерський р-н, смт. Криве Озеро</t>
  </si>
  <si>
    <t>ФГ "Крамар В.О."</t>
  </si>
  <si>
    <t>СЕС "Кам"янече"</t>
  </si>
  <si>
    <t>СЕС "Кам"янече", Кіровоградська обл., Новоархангельський р-н, с.Кам"янече, вул. Лікарняна, 42</t>
  </si>
  <si>
    <t>ТзОВ "Лайтфул"</t>
  </si>
  <si>
    <t>"Енергетичні поля СЕС Терновиця Сонячна 1"</t>
  </si>
  <si>
    <t>"Енергетичні поля СЕС Терновиця Сонячна 1", Львівська обл., Яворівський р-н, с.Терновиця</t>
  </si>
  <si>
    <t>"Енергетичні поля СЕС Терновиця Сонячна 2"</t>
  </si>
  <si>
    <t>"Енергетичні поля СЕС Терновиця Сонячна 2", Львівська обл., Яворівський р-н, с.Терновиця</t>
  </si>
  <si>
    <t>ТзОВ "Лемберг Солар"</t>
  </si>
  <si>
    <t>СЕС, Львівська обл., Кам"янка-Бузький р-н, Старояричівська сільська рада</t>
  </si>
  <si>
    <t>OZERNAPVSPP</t>
  </si>
  <si>
    <t>ТОВ "ЛІГ АГРО"</t>
  </si>
  <si>
    <t xml:space="preserve">СЕС "Озерна" </t>
  </si>
  <si>
    <t>СЕС "Озерна" Львівська обл., Яворівський р-н, Залузька сільрада (за межами населеного пункту)</t>
  </si>
  <si>
    <t>CHECHELNYK1PVSPP</t>
  </si>
  <si>
    <t>ТОВ "ЛІДЕР"</t>
  </si>
  <si>
    <t>СЕС, Вінницька обл., Чечельницький р-н, селище Чечельник, вул.Шевченка, 43, 1 черга</t>
  </si>
  <si>
    <t>CHECHELNYK2PVSPP</t>
  </si>
  <si>
    <t>СЕС, Вінницька обл., Чечельницький р-н, селище Чечельник, вул.Шевченка, 43, 2 черга</t>
  </si>
  <si>
    <t>ТОВ "Либідь Девелопмент"</t>
  </si>
  <si>
    <t>Дніпропетровська обл., Синельниківський р-н, територія Раївської с/р, 1 черга</t>
  </si>
  <si>
    <t>Дніпропетровська обл., Синельниківський р-н, територія Раївської с/р, 2 черга</t>
  </si>
  <si>
    <t>ТОВ "Ліз-Маш"</t>
  </si>
  <si>
    <t>СЕС "Свірщевський"</t>
  </si>
  <si>
    <t>СЕС "Свірщевський", Кіровоградська обл., м. Новоукраїнка, вул. Курчатова, 17-г</t>
  </si>
  <si>
    <t>LIMANENER1PVSPP</t>
  </si>
  <si>
    <t>ТОВ "ЛИМАНСЬКА ЕНЕРДЖИ 1"</t>
  </si>
  <si>
    <t>СЕС, Одеська обл., м. Рені, вул. Комсомольська, 2/1а</t>
  </si>
  <si>
    <t>LIMANENER2PVSPP</t>
  </si>
  <si>
    <t>ТОВ "ЛИМАНСЬКА ЕНЕРДЖИ 2"</t>
  </si>
  <si>
    <t>СЕС, Одеська обл., м. Рені, вул. Комсомольська, 2/1б</t>
  </si>
  <si>
    <t>ТОВ "Науково-випробувальний центр "Промінь"</t>
  </si>
  <si>
    <t>СЕС "Спортивна"</t>
  </si>
  <si>
    <t>СЕС "Спортивна", Кіровоградська обл, Долинський р-н, смт.Молодіжне, вул.Будівельників, 5</t>
  </si>
  <si>
    <t>ПП "Нацпрод"</t>
  </si>
  <si>
    <t>СЕС "ПП "Нацпрод"</t>
  </si>
  <si>
    <t>СЕС "ПП "Нацпрод", Запорізька обл., Васильківський р-н, с/р с.Мала Білозерка (за межами населеного пункту)</t>
  </si>
  <si>
    <t>ТОВ "Немиринці Солар"</t>
  </si>
  <si>
    <t>СЕС, Хмельницька обл., Городоцький р-н, с.Немиринці, вул. Карася Сави, 35</t>
  </si>
  <si>
    <t>ТОВ "Нік Санстар 2"</t>
  </si>
  <si>
    <t>СЕС "Трудове"</t>
  </si>
  <si>
    <t>СЕС "Трудове", Миколаївська обл., Вознесенський р-н, на території Дорошівської с/р</t>
  </si>
  <si>
    <t>ТОВ "Нік Солар"</t>
  </si>
  <si>
    <t>СЕС "Нік Солар"</t>
  </si>
  <si>
    <t>СЕС "Нік Солар", Миколаївська обл., Баштанський р-н, на території Мар"ївської с/р</t>
  </si>
  <si>
    <t>NICKSTARPVSPP</t>
  </si>
  <si>
    <t>ТОВ "НІК СТАР"</t>
  </si>
  <si>
    <t>СЕС "Нік Стар"</t>
  </si>
  <si>
    <t>Новоодеський</t>
  </si>
  <si>
    <t>на території Кандибінської с/р (за межами населених пунктів)</t>
  </si>
  <si>
    <t>ТОВ "Нік Стар Грін"</t>
  </si>
  <si>
    <t>СЕС"Бузьке"</t>
  </si>
  <si>
    <t>на території Бузької с/р</t>
  </si>
  <si>
    <t>ТОВ "Нива Енерго"</t>
  </si>
  <si>
    <t>СЕС "Рубанівка"</t>
  </si>
  <si>
    <t>СЕС "Рубанівка", Херсонська обл., Великолепетиський р-н, на території Рубанівської с/р (за межами населених пунктів)</t>
  </si>
  <si>
    <t>ТОВ "Нива Інвест"</t>
  </si>
  <si>
    <t>СЕС "Олешки-2"</t>
  </si>
  <si>
    <t>СЕС "Олешки-2", Херсонська обл., Олешківський р-н, м.Олешки (біля колишнього заводу "Аметист")</t>
  </si>
  <si>
    <t>ТОВ "Нива Солар"</t>
  </si>
  <si>
    <t>СЕС "Олешки-1"</t>
  </si>
  <si>
    <t>СЕС "Олешки-1", Херсонська обл., Олешківський р-н, м.Олешки (територія колишніх очисних споруд)</t>
  </si>
  <si>
    <t>NEPSOLARPVSPP</t>
  </si>
  <si>
    <t>ПрАТ "НЕПТУН СОЛАР"</t>
  </si>
  <si>
    <t>СЕС, Миколаївська обл., Вознесенський р-н, с. Таборівка</t>
  </si>
  <si>
    <t>KORPVSPP</t>
  </si>
  <si>
    <t>ЗЕА "Новосвіт"</t>
  </si>
  <si>
    <t>Коржівська СЕС</t>
  </si>
  <si>
    <t>Старокостянтинівський</t>
  </si>
  <si>
    <t>с. Коржівка</t>
  </si>
  <si>
    <t>OZPVSPP</t>
  </si>
  <si>
    <t>СЕС "Озірна"</t>
  </si>
  <si>
    <t>м. Звенигородка</t>
  </si>
  <si>
    <t>вул. Пархоменка, 122а</t>
  </si>
  <si>
    <t>TS2CH45PVSPP</t>
  </si>
  <si>
    <t>Цекинівська СЕС №2, 4- 5 черги</t>
  </si>
  <si>
    <t>с. Цекинівка</t>
  </si>
  <si>
    <t>TS3PVSPP</t>
  </si>
  <si>
    <t>Цекинівська СЕС №3</t>
  </si>
  <si>
    <t>HORDPVSPP</t>
  </si>
  <si>
    <t>Гордашівська СЕС</t>
  </si>
  <si>
    <t>Тальнівський</t>
  </si>
  <si>
    <t>TSEK1PVSPP</t>
  </si>
  <si>
    <t>Цекинівська СЕС</t>
  </si>
  <si>
    <t>TS2CH13PVSPP</t>
  </si>
  <si>
    <t>Цекинівська СЕС №2, 1- 2 черги</t>
  </si>
  <si>
    <t>Цекинівська СЕС №2, 3 черга</t>
  </si>
  <si>
    <t>TS4PVSPP</t>
  </si>
  <si>
    <t>Цекинівська СЕС № 4</t>
  </si>
  <si>
    <t>ТОВ "НР Солар"</t>
  </si>
  <si>
    <t>СЕС "Південна"</t>
  </si>
  <si>
    <t>СЕС "Південна", Львівська обл., Миколаївський р-н, с.Березина, за межами населеного пункту</t>
  </si>
  <si>
    <t>ТОВ "Одгрін"</t>
  </si>
  <si>
    <t>СЕС "Одгрін"</t>
  </si>
  <si>
    <t>СЕС "Одгрін", Миколаївська обл., Вознесенський р-н, на території Щербанівської сільської ради</t>
  </si>
  <si>
    <t>ТОВ "Олешківська СЕС"</t>
  </si>
  <si>
    <t>СЕС, Херсонська обл., Олешківський р-н, Виноградівська с/р (за межами населеного пункту), 1 черга</t>
  </si>
  <si>
    <t>СЕС, Херсонська обл., Олешківський р-н, Виноградівська с/р (за межами населеного пункту), 2 черга</t>
  </si>
  <si>
    <t>СЕС, Херсонська обл., Олешківський р-н, Виноградівська с/р (за межами населеного пункту), 3-4 черги</t>
  </si>
  <si>
    <t>IVN1PVSPP</t>
  </si>
  <si>
    <t>ФГ "ОМЕЛЬЯНЕНКО"</t>
  </si>
  <si>
    <t>СЕС, Кіровоградська обл., Новоукраїнський р-н, с. Іванівка 1 черга</t>
  </si>
  <si>
    <t>IVN2PVSPP</t>
  </si>
  <si>
    <t>СЕС, Кіровоградська обл., Новоукраїнський р-н, с. Іванівка, 2черга</t>
  </si>
  <si>
    <t>ТОВ "Оптімус Солар Енерджі"</t>
  </si>
  <si>
    <t>СЕС "Благовіщенська", Кіровоградська обл., Благовіщенський р-н, м.Благовіщенське, вул.Транспортна, 1 черга</t>
  </si>
  <si>
    <t>ТОВ "Павлівська сонячна електростанція"</t>
  </si>
  <si>
    <t>СЕС, Івано-Франківська обл., Тисменицький р-н, с.Павлівка, вул.Лесі Українки, 14</t>
  </si>
  <si>
    <t>ТОВ "Петронік"</t>
  </si>
  <si>
    <t>СЕС, 1 пусковий комплекс</t>
  </si>
  <si>
    <t>СЕС, Херсонська обл., м.Нова Каховка, м.Таврійськ, вул.Незалежності (Героїв Сталінграду), 29-а), 1 пусковий комплекс</t>
  </si>
  <si>
    <t>СЕС, 2 пусковий комплекс</t>
  </si>
  <si>
    <t>СЕС, Херсонська обл., м.Нова Каховка, м.Таврійськ, вул.Незалежності (Героїв Сталінграду), 29-а), 2 пусковий комплекс</t>
  </si>
  <si>
    <t>ТОВ "Підстепне сонце"</t>
  </si>
  <si>
    <t>СЕС, Херсонська обл., Цюрупинський р-н, Підстепненська с/р</t>
  </si>
  <si>
    <t>ПП "Пікет-Буд-Транс"</t>
  </si>
  <si>
    <t>Волинська обл., Ковельський р-н, смт.Голоби, вул.Ткача</t>
  </si>
  <si>
    <t>ТОВ "Плисків Енерджі"</t>
  </si>
  <si>
    <t>СЕС, Вінницька обл., Погребищенський р-н, с.Плисків, вул. Гагаріна, 7б</t>
  </si>
  <si>
    <t>VERKHIVKAPVSPP</t>
  </si>
  <si>
    <t>ТОВ "Поділля Солар Про"</t>
  </si>
  <si>
    <t>СЕС, Вінницька обл., Броварський р-н., с. Верхівка, вул. 8-го Березня, 61</t>
  </si>
  <si>
    <t>BARPVSPP</t>
  </si>
  <si>
    <t>СЕС, Вінницька обл., Барський р-н, м.Бар, вул. Арсенальна, 21</t>
  </si>
  <si>
    <t>ПП "Подільськенерго"</t>
  </si>
  <si>
    <t>СЕС "Кам"янець-Подільська"</t>
  </si>
  <si>
    <t>СЕС "Кам"янець-Подільська", Хмельницька обл., Кам"янець- Подільський р-н, за межами населених пунктів, на території Панівецької с/р</t>
  </si>
  <si>
    <t>SHARHOROD1PVSPP</t>
  </si>
  <si>
    <t>ТОВ "ПРАЙМВУД"</t>
  </si>
  <si>
    <t>ФЕС, Вінницька обл., м. Шаргород</t>
  </si>
  <si>
    <t>BALKYPVSPP</t>
  </si>
  <si>
    <t>СЕС на землях Войнашівської с/р (за межами населених пунктів), Вінницька обл., Барський р-н</t>
  </si>
  <si>
    <t>KOSTOHRYZPVSPP</t>
  </si>
  <si>
    <t>СЕС "Костогризово"</t>
  </si>
  <si>
    <t>СЕС "Костогризово", Херсонська обл., Олешківський р-н, с.Костогризове, вул. Польова,9</t>
  </si>
  <si>
    <t>ТОВ "Прометей ЕТГ"</t>
  </si>
  <si>
    <t>СЕС "Покров"</t>
  </si>
  <si>
    <t>СЕС "Покров", Дніпропетровська обл., м.Покров, вул.Північно- Промислова</t>
  </si>
  <si>
    <t>PRYOZERNE1PVSPP</t>
  </si>
  <si>
    <t>ТОВ "ПРИОЗЕРНЕ 1"</t>
  </si>
  <si>
    <t>СЕС, Одеська обл., Кілійський р-н, м. Кілія</t>
  </si>
  <si>
    <t>PRYOZERNE2PVSPP</t>
  </si>
  <si>
    <t>ПрАТ "ПРИОЗЕРНЕ 2"</t>
  </si>
  <si>
    <t>ТзОВ "П"юр Павер"</t>
  </si>
  <si>
    <t>СЕС, Львівська обл, Золочівський р-н, м.Глиняни, вул.Львівська, 93</t>
  </si>
  <si>
    <t>ТОВ "Радехівська сонячна станція"</t>
  </si>
  <si>
    <t>СЕС "Радехівська сонячна станція"</t>
  </si>
  <si>
    <t>СЕС "Радехівська сонячна станція", Львівська обл., м.Радехів, вул. Спортивна, 11</t>
  </si>
  <si>
    <t>RASSVETPVSPP</t>
  </si>
  <si>
    <t>ТОВ "РАССВЕТ"</t>
  </si>
  <si>
    <t>Кіровоградська обл., Новоукраїнський р-н, на землях Рівнянської сільської ради</t>
  </si>
  <si>
    <t>CHERNIATKAPVSPP</t>
  </si>
  <si>
    <t>ТОВ "РЕНДЖИ БЕРШАДЬ"</t>
  </si>
  <si>
    <t>СЕС, на території Чернятської сільської ради,Вінницька обл., Бершадський р-н</t>
  </si>
  <si>
    <t>BILOZERKAPVSPP</t>
  </si>
  <si>
    <t>СЕС "Білозерка"</t>
  </si>
  <si>
    <t>СЕС "Білозерка", Херсонська обл., Білозерський р-н, за межами населеного пункту на території Білозерської с/р</t>
  </si>
  <si>
    <t>ТОВ "Р-Енерджі"</t>
  </si>
  <si>
    <t>СЕС, Кіровоградська обл., Кіровоградський р-н, на території Клинцівської с/р</t>
  </si>
  <si>
    <t>RISUVOROVO1PVSPP</t>
  </si>
  <si>
    <t>ТОВ "РЕНДЖИ ІЗМАЇЛ"</t>
  </si>
  <si>
    <t>Одеська обл., Ізмаїльський р-н, селище Суворове, вул. Лиманська, 19-А</t>
  </si>
  <si>
    <t>RENGYISMAILPVSPP</t>
  </si>
  <si>
    <t>СЕС, Херсонська обл., Великолепетиський р-н, с.Рубанівка, вул.Івана Франка, 35, 37</t>
  </si>
  <si>
    <t>RISUVOROVO2PVSPP</t>
  </si>
  <si>
    <t>СЕС "Суворова-2"</t>
  </si>
  <si>
    <t>СЕС "Суворова-2", Одеська обл., Ізмаїльський р-н, смт. Суворове, вул.Лиманська, 19б</t>
  </si>
  <si>
    <t>RSSHARGORO2PVSPP</t>
  </si>
  <si>
    <t>ТОВ "РЕНДЖИ САРАТА"</t>
  </si>
  <si>
    <t>Шаргородський</t>
  </si>
  <si>
    <t>м. Шаргород</t>
  </si>
  <si>
    <t>вул.Лугова, 96</t>
  </si>
  <si>
    <t>RTGNATKIVPVSPP</t>
  </si>
  <si>
    <t>ТОВ «РЕНДЖИ ТОМАШПІЛЬ»</t>
  </si>
  <si>
    <t>СЕС, на території Гнатківської сільської ради, Вінницька обл.,Томашпільський р-н</t>
  </si>
  <si>
    <t>RTKULEVCHAPVSPP</t>
  </si>
  <si>
    <t xml:space="preserve"> СЕС, Одеська обл., Саратський р-н, на землях Кулевчанської сільської ради</t>
  </si>
  <si>
    <t>HLYBOCHOK1PVSPP</t>
  </si>
  <si>
    <t>ТОВ "РЕНДЖИ ТРОСТЯНЕЦЬ"</t>
  </si>
  <si>
    <t>СЕС,  1 черга</t>
  </si>
  <si>
    <t>СЕС, Вінницька обл., Тростянецький р-н, с. Глибочок, 1 черга</t>
  </si>
  <si>
    <t>HLYBOCHOK21PVSPP</t>
  </si>
  <si>
    <t>СЕС, 2 черга,1 пусковий комплекс</t>
  </si>
  <si>
    <t>СЕС, Вінницька обл., Тростянецький р-н, с. Глибочок 2 черга,1 пусковий комплекс</t>
  </si>
  <si>
    <t>HLYBOCHOK22PVSPP</t>
  </si>
  <si>
    <t>СЕС, 2 черга, 2 пусковий комплекс</t>
  </si>
  <si>
    <t>СЕС, Вінницька обл., Тростянецький р-н, с. Глибочок 2 черга, 2 пусковий комплекс</t>
  </si>
  <si>
    <t>MYKOLAIIVKAPVSPP</t>
  </si>
  <si>
    <t>СЕС "Миколаївка"</t>
  </si>
  <si>
    <t>СЕС "Миколаївка", Херсонська обл., Великолепетиський р-н, с.Миколаївка, вул.Таврійська, 80</t>
  </si>
  <si>
    <t>KOMYSHANY1PVSPP</t>
  </si>
  <si>
    <t>СЕС "Комишани 1"</t>
  </si>
  <si>
    <t>СЕС "Комишани 1", Херсонська обл., м.Херсон, на території Комишанської сільської ради</t>
  </si>
  <si>
    <t>KOMYSHANY2PVSPP</t>
  </si>
  <si>
    <t>СЕС "Комишани 2"</t>
  </si>
  <si>
    <t>СЕС "Комишани 2", Херсонська обл., м.Херсон, на території Комишанської сільської ради</t>
  </si>
  <si>
    <t>RIV400PK1PVSPP</t>
  </si>
  <si>
    <t>ПрАТ "РІВНЯНСЬКЕ"</t>
  </si>
  <si>
    <t>СЕС "Рівнянська 2", 1 пусковий комплекс</t>
  </si>
  <si>
    <t>с.Рівне, вул. Енгельса, 2, 1 пусковий комплекс</t>
  </si>
  <si>
    <t>RIV2PK1PVSPP</t>
  </si>
  <si>
    <t>СЕС "Рівнянська 2", 2 пусковий комплекс</t>
  </si>
  <si>
    <t>СЕС "Рівнянська 2", Кіровоградська обл., Новоукраїнський р-н, с.Рівне, вул. Енгельса, 2, 2 пусковий комплекс</t>
  </si>
  <si>
    <t>ТОВ "Розвиток Схід"</t>
  </si>
  <si>
    <t>СЕС, Дніпропетровська обл., Синельниківський р-н, на території Дібровської сільської ради</t>
  </si>
  <si>
    <t>Синельниківськийр-н,територіяРоздорськоїселищноїради</t>
  </si>
  <si>
    <t>SEH_PVSPP</t>
  </si>
  <si>
    <t>ТОВ "С.ЕНЕРДЖІ - ХЕРСОН"</t>
  </si>
  <si>
    <t>Херсонська обл., м.Каховка, в межах вул.Козацької та Чаплинського шосе, 1 пусковий комплекс</t>
  </si>
  <si>
    <t>Херсонська обл., м.Каховка, в межах вул.Козацької та Чаплинського шосе, 2 пусковий комплекс</t>
  </si>
  <si>
    <t>Херсонська обл., м.Каховка, в межах вул.Козацької та Чаплинського шосе, 3 пусковий комплекс</t>
  </si>
  <si>
    <t>Херсонська обл., м.Каховка, в межах вул.Козацької та Чаплинського шосе, 4 пусковий комплекс</t>
  </si>
  <si>
    <t>SAMSPVSPP</t>
  </si>
  <si>
    <t>ТОВ " САМБІРСЬКА СОНЯЧНА СТАНЦІЯ "</t>
  </si>
  <si>
    <t>СЕС, Львівська обл., Самбірський р-н, с. Ралівка</t>
  </si>
  <si>
    <t>SAMS2PVSPP</t>
  </si>
  <si>
    <t>ТОВ "Самбірська сонячна станція-2"</t>
  </si>
  <si>
    <t>СЕС, Львівська обл., Самбірський р-н, с. Ралівка 1-2 черга</t>
  </si>
  <si>
    <t>SAMS2-3PVSPP</t>
  </si>
  <si>
    <t>СЕС, Львівська обл., Самбірський р-н, с. Ралівка 3-4 черга</t>
  </si>
  <si>
    <t>ТОВ "Санбімс Енерджі"</t>
  </si>
  <si>
    <t>СЕС "Шаланки-2</t>
  </si>
  <si>
    <t>СЕС "Шаланки-2, Закарпатська обл.,Виноградівський р-н, с.Шаланки, вул. Сальва, 100-б</t>
  </si>
  <si>
    <t>ТОВ "Санбілд"</t>
  </si>
  <si>
    <t>СЕС "Афанасіївка"</t>
  </si>
  <si>
    <t>СЕС "Афанасіївка", Миколаївська обл., Снігурівський р-н, на території Афанасіївської сільської ради</t>
  </si>
  <si>
    <t>ТОВ "Санвін 1"</t>
  </si>
  <si>
    <t>СЕС "Погребище"</t>
  </si>
  <si>
    <t>СЕС "Погребище", Вінницька обл., Погребищенський р-н, на території Погребищенської міської ради</t>
  </si>
  <si>
    <t>ТОВ "Санвін 4"</t>
  </si>
  <si>
    <t>СЕС "Петрашівка", Вінницька обл., Тульчинський р-н, на території Печерської с/р</t>
  </si>
  <si>
    <t>ТОВ "Санвін 8"</t>
  </si>
  <si>
    <t>СЕС "Дашів"</t>
  </si>
  <si>
    <t>СЕС "Дашів", Вінницька обл., Іллінецький р-н, на території Дашівської селищної ради</t>
  </si>
  <si>
    <t>ТОВ "Санвін 12"</t>
  </si>
  <si>
    <t>СЕС "Новоселиця"</t>
  </si>
  <si>
    <t>СЕС "Новоселиця", Кіровоградська обл., Благовіщенський р-н, на території Новоселицької с/р</t>
  </si>
  <si>
    <t>ТОВ "Санвін 14"</t>
  </si>
  <si>
    <t>СЕС "Новоукраїнка"</t>
  </si>
  <si>
    <t>СЕС "Новоукраїнка", Кіровоградська обл., Новоукраїнський р-н, на території Новоукраїнської міської ради (м.Новоукраїнка, вул.Курчатова, 17-д)</t>
  </si>
  <si>
    <t>ТОВ "Сан Вест Енерджі"</t>
  </si>
  <si>
    <t>СЕС, Івано-Франківська обл., Рогатинський р-н, с.Сарники, вул.Зарічна, 16, 1 черга</t>
  </si>
  <si>
    <t>ТОВ "Сан Вольт"</t>
  </si>
  <si>
    <t>СЕС "Любимівка"</t>
  </si>
  <si>
    <t>СЕС "Любимівка", Херсонська обл., Каховський р-н, смт. Любимівка, вул. Мелітопольська, 91-Є</t>
  </si>
  <si>
    <t>ТОВ "Сангріненерджі"</t>
  </si>
  <si>
    <t>СЕС "Богуслав 1", 1 черга</t>
  </si>
  <si>
    <t>СЕ "Богуслав 1", Київська обл., Богуславський р-н, м.Богуслав, вул. Богуславка, 152, 1 черга</t>
  </si>
  <si>
    <t>СЕС "Богуслав 1", 2 черга</t>
  </si>
  <si>
    <t>СЕ "Богуслав 1", Київська обл., Богуславський р-н, на території Богуславської міської ради, 2 черга</t>
  </si>
  <si>
    <t>СЕС "Богуслав 1", 3 та 4 черги</t>
  </si>
  <si>
    <t>СЕС "Богуслав 1", Київська обл., Богуславський р-н, на території Богуславської міської ради, 3 та 4 черги</t>
  </si>
  <si>
    <t>СЕС "Богуслав 1", 5-6 черги</t>
  </si>
  <si>
    <t>СЕС "Богуслав 1", Київська обл., Богуславський р-н, м.Богуслав, м.Богуславка, 152, 5-6 черги</t>
  </si>
  <si>
    <t xml:space="preserve"> та 8 черги СЕС «Богуслав 1»</t>
  </si>
  <si>
    <t>Богуславський р-н, м.Богуслав, м.Богуславка</t>
  </si>
  <si>
    <t>ТОВ "Саненерго"</t>
  </si>
  <si>
    <t>СЕС, Хмельницька обл., Городоцький р-н, Бедриковецька с/р, за межами населеного пункту с.Бедриківці</t>
  </si>
  <si>
    <t>ТОВ "Саненерджі"</t>
  </si>
  <si>
    <t>СЕС. Івано-Франківська обл., Тисменицький р-н, с. Стриганці, вул.Шевченка</t>
  </si>
  <si>
    <t>ТОВ "Сан Енерджі"</t>
  </si>
  <si>
    <t>СЕС, Дніпропетровська обл., Дніпровський р-н, на території Підгородненської міської ради за межами населеного пункту ( 1 черга)</t>
  </si>
  <si>
    <t>СЕС "Сан Енерджі Межиріч"</t>
  </si>
  <si>
    <t>1 черга СЕС «САН ЕНЕРДЖІ МЕЖИРІЧ» (реконструкція) Дніпропетровська обл., Павлоградський р-н, на території Межиріцької сільської ради</t>
  </si>
  <si>
    <t>ТЗОВ "Санлайт Дженерейшн"</t>
  </si>
  <si>
    <t>"Енергетичні поля СЕС Терновиця Санлайт 1"</t>
  </si>
  <si>
    <t>"Енергетичні поля СЕС Терновиця Санлайт 1", Львівська обл., Яворівський р-н, с.Терновиця</t>
  </si>
  <si>
    <t>"Енергетичні поля СЕС Терновиця Санлайт 2"</t>
  </si>
  <si>
    <t>"Енергетичні поля СЕС Терновиця Санлайт 2", Львівська обл., Яворівський р-н, с.Терновиця</t>
  </si>
  <si>
    <t>SANLAIT1PVSPP</t>
  </si>
  <si>
    <t>ТОВ "Санлайт Енерджі"</t>
  </si>
  <si>
    <t>Миколаївська обл., Вітовський р-н, на землях Воскресенської сільської ради, 1 черга</t>
  </si>
  <si>
    <t>Миколаївська обл., Вітовський р-н, на землях Воскресенської сільської ради, 2 черга</t>
  </si>
  <si>
    <t>Миколаївська обл, Вітовський р-н, с.Воскресеньке, вул.Дорожна,11</t>
  </si>
  <si>
    <t>СЕС, Миколаївська обл., Вітовський р-н, за межами с.Воскресенське, Воскресенської с/р</t>
  </si>
  <si>
    <t>ТОВ "Санрайз Д.Е."</t>
  </si>
  <si>
    <t>СЕС-1, 1 черга</t>
  </si>
  <si>
    <t>Херсонська обл., Білозерський р-н, межі Музиківської с/р, 1 черга СЕС- 1</t>
  </si>
  <si>
    <t>СЕС-1, 2 черга</t>
  </si>
  <si>
    <t>Херсонська обл., Білозерський р-н, межі Музиківської с/р, 2 черга СЕС- 1</t>
  </si>
  <si>
    <t>ТОВ "Сансолар"</t>
  </si>
  <si>
    <t>СЕС, Івано-Франківська обл., Тлумацький р-н, смт. Обертин, вул. Хотимирська</t>
  </si>
  <si>
    <t>SGP_PVSPP</t>
  </si>
  <si>
    <t>ТОВ "САНТАЛЕКС ГРІН ПАУЕР"</t>
  </si>
  <si>
    <t>Токмацький</t>
  </si>
  <si>
    <t>на території Новенської сільради</t>
  </si>
  <si>
    <t>ТОВ "Сервістрансавто"</t>
  </si>
  <si>
    <t>"Вишнопільська СЕС"</t>
  </si>
  <si>
    <t>"Вишнопільська СЕС", Хмельницька обл., Старокостянтинівський р-н, с.Вишнопіль, пров.Тракторний, 1/1</t>
  </si>
  <si>
    <t>"Северинська СЕС"</t>
  </si>
  <si>
    <t>"Северинська СЕС", Хмельницька обл., Старокостянтинівський р-н, с.Северини, вул.Б.Хмельницького</t>
  </si>
  <si>
    <t>СЕС "Іванківці"</t>
  </si>
  <si>
    <t>СЕС "Іванківці", Вінницька обл., Козятинський р-н, с.Іванківці, вул. Набережна, 54</t>
  </si>
  <si>
    <t>СЕС "Писарівка"</t>
  </si>
  <si>
    <t>СЕС "Писарівка", Хмельницька обл., Старокостянтинівський р-н, с.Писарівка</t>
  </si>
  <si>
    <t>СЕС "Експрес"</t>
  </si>
  <si>
    <t>СЕС "Експрес",Вінницька обл., м.Жмеринка, вул. Магістральна, 26</t>
  </si>
  <si>
    <t>ТзОВ "Синтез Солар"</t>
  </si>
  <si>
    <t>Бориславська СЕС №2</t>
  </si>
  <si>
    <t>Бориславська СЕС №2, Львівська обл., м.Борислав, вул. Коваліва, 46-Б</t>
  </si>
  <si>
    <t>ПП "Синьків"</t>
  </si>
  <si>
    <t>СЕС "Синьків"</t>
  </si>
  <si>
    <t>СЕС "Синьків", Тернопільська обл., Заліщицький р-н, с.Синьків</t>
  </si>
  <si>
    <t>ТОВ "Скіфія-Солар-1"</t>
  </si>
  <si>
    <t>СЕС "Скіфія-Солар-1"</t>
  </si>
  <si>
    <t>СЕС "Скіфія-Солар-1", Запорізька обл., Мелітопольський р-н, на території Констянтинівської с/р (за межами населених пунктів)</t>
  </si>
  <si>
    <t>SCYTHIASOL2PVSPP</t>
  </si>
  <si>
    <t>ТОВ "СКІФІЯ-СОЛАР-2"</t>
  </si>
  <si>
    <t>Мелітопольський</t>
  </si>
  <si>
    <t>територія Костянтинівської с/р, за межами населеного пункту</t>
  </si>
  <si>
    <t>ТОВ "Снятиненергоінвест"</t>
  </si>
  <si>
    <t>СЕС, Івано-Франківська обл., Снятинський р-н, с.Шевченкове, вул. Черемшини,55</t>
  </si>
  <si>
    <t>ТОВ "Совелектра"</t>
  </si>
  <si>
    <t>СЕС, Херсонська обл., Олешківський р-н, на території Костогризівської с/р (за межами населених пунктів)</t>
  </si>
  <si>
    <t>ТОВ "Солар Вейв"</t>
  </si>
  <si>
    <t>СЕС "Солар Вейв"</t>
  </si>
  <si>
    <t>СЕС "Солар Вейв", Житомирська обл., Коростишівський р-н, Слобідська сільська рада, за межами населеного пункту</t>
  </si>
  <si>
    <t>ТОВ "Солар Грін Тех"</t>
  </si>
  <si>
    <t>СЕС "Північна"</t>
  </si>
  <si>
    <t>СЕС "Північна", Львівська обл., Миколаївський р-н, с.Березина, за межами населеного пункту</t>
  </si>
  <si>
    <t>ТОВ "Солар-Груп"</t>
  </si>
  <si>
    <t>СЕС, Миколаївська обл., Миколаївський р-н, Трихатська сільська рада</t>
  </si>
  <si>
    <t>SGENPVSPP</t>
  </si>
  <si>
    <t>ТОВ "СОЛАР ДЖЕНЕРЕЙШН"</t>
  </si>
  <si>
    <t>смт. Вендичани</t>
  </si>
  <si>
    <t>ТОВ "Солар-Іф"</t>
  </si>
  <si>
    <t>Івано-Франківська обл., Тисменицький р-н, с.Радча, вул.Тракторна, 25</t>
  </si>
  <si>
    <t>SEKOPARK1PVSPP</t>
  </si>
  <si>
    <t>ТОВ "СОЛАР ЕКО ПАРК"</t>
  </si>
  <si>
    <t>Дніпропетровська обл., Дніпровський р-н, на землях Волоської сільської ради</t>
  </si>
  <si>
    <t>SEKOPARKPVSPP</t>
  </si>
  <si>
    <t>СЕС-2, Дніпропетровська обл., Дніпровський р-н, територія Новоолександрівської сільської ради, поблизу с.Волоське</t>
  </si>
  <si>
    <t>ТОВ "Солар Енерджі"</t>
  </si>
  <si>
    <t>Івано-Франківська обл., Тисменицький р-н, с.Радча, вул.Тракторна, 17</t>
  </si>
  <si>
    <t>ТОВ "Солар Енерджі Інвестментс Україна"</t>
  </si>
  <si>
    <t>СЕС, Бориспіль-1</t>
  </si>
  <si>
    <t>СЕС, Бориспіль-1, Київська обл., м.Бориспіль, вул.Ушакова, 21 2 пусковий комплекс</t>
  </si>
  <si>
    <t>S_KARPATY_PVSPP</t>
  </si>
  <si>
    <t>ТОВ "СОЛАР КАРПАТИ"</t>
  </si>
  <si>
    <t>Івано-Франківська обл., Снятинський р-н, с.Попельники</t>
  </si>
  <si>
    <t>HANKIVTSI_PVSPP</t>
  </si>
  <si>
    <t>СЕС-1, Івано-Франківська обл., Снятинський р-н, с.Ганьківці, Урочище "Ферма"</t>
  </si>
  <si>
    <t>SOLARKVANTPVSPP</t>
  </si>
  <si>
    <t>ТОВ "СОЛАР КВАНТ"</t>
  </si>
  <si>
    <t>СЕС, Дніпропетровська обл., м. Орджонікідзе 1 черга</t>
  </si>
  <si>
    <t>SOLARKVANT_2PVSPP</t>
  </si>
  <si>
    <t>СЕС, Дніпропетровська обл., м. Орджонікідзе,вул. Північно-Промислова,52, (2 черга)</t>
  </si>
  <si>
    <t>SOLARKVANT_3PVSPP</t>
  </si>
  <si>
    <t>СЕС, Миколаївська обл., Врадіївський р-н, за межами с.Сирове, вул. Піщана, 45-а</t>
  </si>
  <si>
    <t>ТОВ "Солар Квант Енерджи"</t>
  </si>
  <si>
    <t>СЕС, Дніпропетровська обл., Синельниківський р-н, на території Раївської об"єднаної територіальної громади, Миролюбівського старостинського округу сільської ради)</t>
  </si>
  <si>
    <t>ТОВ "Солар Парк Підгородне"</t>
  </si>
  <si>
    <t>СЕС-1, Дніпропетровська обл., Дніпропетровський р-н, Підгородненська міська рада</t>
  </si>
  <si>
    <t>СЕС-2, Дніпропетровська обл., Дніпропетровський р-н, Підгородненська міська рада</t>
  </si>
  <si>
    <t>СЕС-3</t>
  </si>
  <si>
    <t>СЕС-3, на території м.Підгородне, Дніпропетровська обл., Дніпропетровський р-н</t>
  </si>
  <si>
    <t>СЕС "Солар Парк Веселе", Запорізька обл., Веселівський р-н, смт.Веселе, вул. Залізнична, 5</t>
  </si>
  <si>
    <t>SOLARENERGOPVSPP</t>
  </si>
  <si>
    <t>ТОВ "СОЛАРЕНЕРГО"</t>
  </si>
  <si>
    <t>СЕС, Херсонська обл., Скадовський р-н, смт Лазурне, вул. Приозерна, 1а</t>
  </si>
  <si>
    <t>ТОВ "Соларсистемс"</t>
  </si>
  <si>
    <t>СЕС, Хмельницька обл., Чемеровецький р-н, на території Кутковецької с/р (за межами населених пунктів)</t>
  </si>
  <si>
    <t>ТОВ "Солар Скайлайн"</t>
  </si>
  <si>
    <t>СЕС, Вінницька обл., Липовецький р-н, с.Росоша, вул. Шевченка,44</t>
  </si>
  <si>
    <t>ТОВ "Солар Чорнобиль"</t>
  </si>
  <si>
    <t>СЕС "Солар Чорнобиль 1"</t>
  </si>
  <si>
    <t>СЕС "Солар Чорнобиль 1", Київська обл., Іванківський р-н (зона відчудження), м.Прип"ять, вул.Житомирська, 1(промисловий майданчик ДСП "Чорнобильська АЕС")</t>
  </si>
  <si>
    <t>ТОВ "Солар Фарм-1"</t>
  </si>
  <si>
    <t>СЕС, Дніпропетровська обл.,Нікопольський р-н, Приміської та Чкаловської сільських рад, за межами населених пунктів, 2 пусковий комплекс</t>
  </si>
  <si>
    <t>ТОВ "Солар Фючер"</t>
  </si>
  <si>
    <t>СЕС, Вінницька обл., Могилів-Подільський р-н, на території смт.Вендичани</t>
  </si>
  <si>
    <t>ТОВ "Солен Енерджі"</t>
  </si>
  <si>
    <t>СЕС, Запорізька обл., м.Запоріжжя, вул. Оріхівське шосе</t>
  </si>
  <si>
    <t>ТОВ "Сонцедар Енерджі"</t>
  </si>
  <si>
    <t xml:space="preserve">Чернівецька </t>
  </si>
  <si>
    <t>СЕС, Чернівецька обл.,Новоселицький р-н, с.Рідківці, вул.Будівельників, 10</t>
  </si>
  <si>
    <t>СЕС, Чернівецька обл., Новоселицький р-н, с.Рідківці, вул.Будівельників 3А,3Б,3В,3Г,3Д</t>
  </si>
  <si>
    <t>ТОВ "Сонячна Брама"</t>
  </si>
  <si>
    <t>СЕС "Королівка"</t>
  </si>
  <si>
    <t>СЕС "Королівка", Івано-Франківська обл., Коломийський р-н, с.Королівка, вул. Броварська, 32</t>
  </si>
  <si>
    <t>SDE1PVSPP</t>
  </si>
  <si>
    <t>ТОВ "Сонячна Деражня"</t>
  </si>
  <si>
    <t>Хмельницька обл.,в межах населеного пункту м.Деражня</t>
  </si>
  <si>
    <t>SDE2PVSPP</t>
  </si>
  <si>
    <t>СЕС "Деражня-2"</t>
  </si>
  <si>
    <t>СЕС "Деражня-2", Хмельницька обл., Деражнянський р-н, м.Деражня, вул. Мічуріна, 26/2</t>
  </si>
  <si>
    <t>ТОВ "Сонячні Дунаївці"</t>
  </si>
  <si>
    <t>СЕС "Маків-1"</t>
  </si>
  <si>
    <t>СЕС "Маків-1", Хмельницька обл., Дунаєвецький р-н, за межами населених пунктів на території Маківської сільської ради</t>
  </si>
  <si>
    <t>BGRDPVSPP</t>
  </si>
  <si>
    <t>ТОВ "Сонячна електростанція "Богородчанська-1"</t>
  </si>
  <si>
    <t>СЕС, Івано-Франківська обл., Богородчанський р-н, с. Старі Богородчани</t>
  </si>
  <si>
    <t>ТОВ "Сонячна Енергія Захід"</t>
  </si>
  <si>
    <t>Хмельницька обл, Волочиський р-н, с.Кривачинці (за межами населеного пункту), 1 черга</t>
  </si>
  <si>
    <t>Хмельницька обл, Волочиський р-н, с.Кривачинці (за межами населеного пункту), 2 черга</t>
  </si>
  <si>
    <t>SE1PVSPP</t>
  </si>
  <si>
    <t>ТОВ "СОНЯЧНА ЕНЕРГІЯ ПЛЮС"</t>
  </si>
  <si>
    <t>СЕС "СЕ-1"</t>
  </si>
  <si>
    <t>с. Ратовці</t>
  </si>
  <si>
    <t>SE2PVSPP</t>
  </si>
  <si>
    <t>СЕС "СЕ-2"</t>
  </si>
  <si>
    <t>с. Андріївка</t>
  </si>
  <si>
    <t>SSSPVSPP</t>
  </si>
  <si>
    <t>ТОВ "СОНЯЧНІ СТАНДАРТНІ РІШЕННЯ"</t>
  </si>
  <si>
    <t>СЕС, Запорізька обл., Запорізький р-н, с. Петропавлівка, вул. Центральна, 1а, 1 пусковий комплекс</t>
  </si>
  <si>
    <t>SSS2PVSPP</t>
  </si>
  <si>
    <t>СЕС, Запорізька обл., Запорізький р-н, с. Петропавлівка, вул. Центральна, 1а, 2 пусковий комплекс</t>
  </si>
  <si>
    <t>STANISLAVPVSPP</t>
  </si>
  <si>
    <t>ТОВ "СТАНІСЛАВ ІНВЕСТ"</t>
  </si>
  <si>
    <t>ФЕС, Вінницька обл., Жмеринський р-н, на землях Станіславчицької сільради, урочище "Дібрівки"</t>
  </si>
  <si>
    <t>ТОВ "Станція Солар-Січ"</t>
  </si>
  <si>
    <t>СЕС, Запорізька обл., Михайлівський р-н, смт. Михайлівка, вул. Гоголя, буд. 141</t>
  </si>
  <si>
    <t>ТОВ "Старвойт"</t>
  </si>
  <si>
    <t>СЕС "Таборівка"</t>
  </si>
  <si>
    <t>СЕС "Таборівка", Миколаївська обл., Вознесенський р-н, в адміністративних межах Бузької с/р на території с.Таборівка</t>
  </si>
  <si>
    <t>STARPIVDENPVSPP</t>
  </si>
  <si>
    <t>ТОВ "СТАР ПІВДЕНЬ ЕНЕРГО"</t>
  </si>
  <si>
    <t>Калинівська СЕС</t>
  </si>
  <si>
    <t>Каховський</t>
  </si>
  <si>
    <t>с. Калинівка</t>
  </si>
  <si>
    <t>ТОВ "Тавань Солар 1"</t>
  </si>
  <si>
    <t>СЕС "Таванська 1"</t>
  </si>
  <si>
    <t>СЕС "Таванська 1", Херсонська обл., Бериславський р-н, м.Берислав</t>
  </si>
  <si>
    <t>ТОВ "Тавань Солар 2"</t>
  </si>
  <si>
    <t>СЕС "Таванська 2"</t>
  </si>
  <si>
    <t>СЕС "Таванська 2", Херсонська обл., Бериславський р-н, м.Берислав</t>
  </si>
  <si>
    <t>ТОВ "Тавань Солар 3"</t>
  </si>
  <si>
    <t>СЕС "Таванська 3"</t>
  </si>
  <si>
    <t>СЕС "Таванська 3", Херсонська обл., Бериславський р-н, м.Берислав</t>
  </si>
  <si>
    <t>ТОВ "Тавр Енерго"</t>
  </si>
  <si>
    <t>СЕС "Казанка"</t>
  </si>
  <si>
    <t>СЕС "Казанка", Миколаївська обл., Казанківський р-н, на території Казанківської селищної ради (за межами населених пунктів)</t>
  </si>
  <si>
    <t>ТОВ "Талант-Солар"</t>
  </si>
  <si>
    <t>Одеська обл., Ізмаїльський р-н, с. Саф"яни, вул. Я.Мудрого, 70-а</t>
  </si>
  <si>
    <t>ТОВ "Тарутине Солар 2"</t>
  </si>
  <si>
    <t>СЕС "Красне"</t>
  </si>
  <si>
    <t>СЕС "Красне", Одеська обл., Тарутинський р-н, с.Красне, Красненська с/р (за межами населеного пункту)</t>
  </si>
  <si>
    <t>ТОВ "Тарутине Солар 4"</t>
  </si>
  <si>
    <t>СЕС "Ярове", 1 черга</t>
  </si>
  <si>
    <t>Тарутинський</t>
  </si>
  <si>
    <t>СЕС "Ярове", Одеська обл., Тарутинський р-н, с.Ярове, 1 черга</t>
  </si>
  <si>
    <t>СЕС "Ярове", 2 черга</t>
  </si>
  <si>
    <t>СЕС "Ярове", Одеська обл., Тарутинський р-н, с.Ярове, вул.Садова, 129, 2 черга</t>
  </si>
  <si>
    <t>TEPLPVSPP</t>
  </si>
  <si>
    <t>ТОВ "ТЕПЛОДАР ПІВІ"</t>
  </si>
  <si>
    <t>вул. Комунальна, 218</t>
  </si>
  <si>
    <t>TSENOVENSKAPVSPP</t>
  </si>
  <si>
    <t>ТОВ "ТОКМАК СОЛАР ЕНЕРДЖІ"</t>
  </si>
  <si>
    <t>СЕС, Запорізька обл., Токмацький р-н, с. Нове, 3 пусковий комплекс</t>
  </si>
  <si>
    <t>TSETOKMAKPVSPP</t>
  </si>
  <si>
    <t>СЕС, Запорізька обл., м.Токмак, вул.Гоголя, 201Л, 1 пусковий комплекс</t>
  </si>
  <si>
    <t>СЕС, Запорізька обл., м.Токмак, вул.Гоголя, 201Б, 2 пусковий комплекс</t>
  </si>
  <si>
    <t>СЕС,  3 пусковий комплекс</t>
  </si>
  <si>
    <t>СЕС, Запорізька обл., м.Токмак, вул.Гоголя, 201В, 3 пусковий комплекс</t>
  </si>
  <si>
    <t>СЕС, Запорізька обл., м.Токмак, вул.Гоголя, 201Г, 4 пусковий комплекс</t>
  </si>
  <si>
    <t>СЕС,  5 пусковий комплекс</t>
  </si>
  <si>
    <t>СЕС, Запорізька обл., м.Токмак, вул.Гоголя, 201Д, 5 пусковий комплекс</t>
  </si>
  <si>
    <t>СЕС,  6 пусковий комплекс</t>
  </si>
  <si>
    <t>СЕС, Запорізька обл., м.Токмак, вул.Гоголя, 201Е, 6 пусковий комплекс</t>
  </si>
  <si>
    <t>СЕС,  7 пусковий комплекс</t>
  </si>
  <si>
    <t>СЕС, Запорізька обл., м.Токмак, вул.Гоголя, 201Ж, 7 пусковий комплекс</t>
  </si>
  <si>
    <t>СЕС,  8 пусковий комплекс</t>
  </si>
  <si>
    <t>СЕС, Запорізька обл., м.Токмак, вул.Гоголя, 201 З, 8 пусковий комплекс</t>
  </si>
  <si>
    <t>СЕС,  9 пусковий комплекс</t>
  </si>
  <si>
    <t>СЕС, Запорізька обл., м.Токмак, вул.Гоголя, 201 К, 9 пусковий комплекс</t>
  </si>
  <si>
    <t>ТОВ "Трифановка Енерджі"</t>
  </si>
  <si>
    <t>Херсонська обл., Великоолександрівський р-н, на території Трифанівської сільської ради</t>
  </si>
  <si>
    <t>ТОВ "Файн-Ел"</t>
  </si>
  <si>
    <t>СЕС, Івано-Франківська обл., Тисменицький р-н, с.Підлісся, ур."Рінь"</t>
  </si>
  <si>
    <t>СЕС, Івано-Франківська обл., Тисменицький р-н, с.Стриганці, вул.Незалежності</t>
  </si>
  <si>
    <t>ТОВ "ФЕС Теребля"</t>
  </si>
  <si>
    <t>СЕС, Закарпатська обл., Тячівський р-н, с.Теребля, урочище "Верхнє поле", б/н</t>
  </si>
  <si>
    <t>ТОВ "Фора С"</t>
  </si>
  <si>
    <t>СЕС "Добровлянська"</t>
  </si>
  <si>
    <t>СЕС "Добровлянська", Тернопільська обл, Заліщицький р-н, с.Добрівляни, вул.Національного Відродження 204</t>
  </si>
  <si>
    <t>"Добрівлянська СЕС-2"</t>
  </si>
  <si>
    <t>"Добрівлянська СЕС-2", Тернопільська обл., Заліщицький р-н, с. Добрівляни, вул. Національного Відродження"</t>
  </si>
  <si>
    <t>ТОВ "Фото Енерджі"</t>
  </si>
  <si>
    <t>Івано-Франківська обл., Тисменицький р-н, с.Радча, вул.Тракторна, 19</t>
  </si>
  <si>
    <t>ТОВ "Фотон Енерджі"</t>
  </si>
  <si>
    <t>СЕС "Фотон Енерджі Підгородне"</t>
  </si>
  <si>
    <t>СЕС "Фотон Енерджі Підгородне", Дніпропетровська обл., Дніпровський р-н, м.Підгородне</t>
  </si>
  <si>
    <t>FRANKOPIVIPVSPP</t>
  </si>
  <si>
    <t>ТОВ "ФРАНКО ПІВІ"</t>
  </si>
  <si>
    <t>СЕС, Одеська обл., Білгород-Дністровський р-н, смт Старокозаче</t>
  </si>
  <si>
    <t>FRANKSOLARPVSPP</t>
  </si>
  <si>
    <t>ТОВ "ФРАНКО СОЛАР"</t>
  </si>
  <si>
    <t>ТОВ "Фрі Енерджі"</t>
  </si>
  <si>
    <t>СЕС, Херсонська обл., Каланчацький р-н, Привільська сільська рада</t>
  </si>
  <si>
    <t>ТОВ "Фрі-Енерджи"</t>
  </si>
  <si>
    <t>СЕС "Мала Лепетиха"</t>
  </si>
  <si>
    <t>СЕС "Мала Лепетиха", Херсонська обл., Великолепетиський р-н, на землях Малолепетиської сільської ради</t>
  </si>
  <si>
    <t>ТОВ "Фрі-Енерджи Генічеськ"</t>
  </si>
  <si>
    <t>СЕС "Партизани"</t>
  </si>
  <si>
    <t>СЕС "Партизани", Херсонська обл., Генічеський р-н, смт. Партизани, територія Партизанської селищної ради (за межами населених пунктів)</t>
  </si>
  <si>
    <t>ТОВ "Хутіренергоінвест"</t>
  </si>
  <si>
    <t>СЕС "Торговиця"</t>
  </si>
  <si>
    <t>СЕС "Торговиця", Івано-Франківська обл., Городенківський р-н, с. Торговиця, вул. Шевченка</t>
  </si>
  <si>
    <t>ТОВ "Чаплинка-Іскра"</t>
  </si>
  <si>
    <t>СЕС, Дніпропетровська обл., Петриківський р-н, с.Чаплинка, вул. Шевченка, 38, 1 черга</t>
  </si>
  <si>
    <t>ТОВ "Широке Солар Парк"</t>
  </si>
  <si>
    <t>СЕС "Широке Солар Парк"</t>
  </si>
  <si>
    <t>СЕС "Широке Солар Парк", Запорізька обл., Запорізький р-н, за межами населеного пункту, на території Сонячної с/р</t>
  </si>
  <si>
    <t>ТОВ "Юкрейніа Солар Груп-Брилівка"</t>
  </si>
  <si>
    <t>СЕС "Брилівка"</t>
  </si>
  <si>
    <t>СЕС "Брилівка", Херсонська обл., Олешківський р-н, смт.Брилівка, вул.Промислова, вул.Центральна, 1 черга</t>
  </si>
  <si>
    <t>ТОВ "Улянівка-Еліос"</t>
  </si>
  <si>
    <t>Миколаївська обл., Миколаївський р-н, с.Улянівка, 1 черга</t>
  </si>
  <si>
    <t>ТОВ "Укрекоенергосистеми"</t>
  </si>
  <si>
    <t>СЕС, Хмельницька обл., м.Волочиськ, вул. Котляревського, 15, 1 пусковий комплекс</t>
  </si>
  <si>
    <t>СЕС, Хмельницька обл., м.Волочиськ, вул. Котляревського, 15, 2-5 пускові комплекси</t>
  </si>
  <si>
    <t>ТОВ "Цетуля Солар"</t>
  </si>
  <si>
    <t>СЕС "Приозерна"</t>
  </si>
  <si>
    <t>СЕС "Приозерна", Львівська обл., Яворівський р-н, Залузька сільська рада (за межами населеного пункту)</t>
  </si>
  <si>
    <t>TERNPROMYSLPVSPP</t>
  </si>
  <si>
    <t>СЕС, м. Тернопіль, вул. Промислова, 28 "Г"</t>
  </si>
  <si>
    <t>EG_DAKH_2_PVSPP</t>
  </si>
  <si>
    <t>СЕС, Вінницька обл., Літинський р-н, с. Селище (2 черга)</t>
  </si>
  <si>
    <t>FRUNZESOLARPVSPP</t>
  </si>
  <si>
    <t>ТОВ "ФРУНЗЕ СОЛАР"</t>
  </si>
  <si>
    <t>СЕС, м. Харків, вул. Плеханівська, 57а</t>
  </si>
  <si>
    <t>TERNZARUDKPVSPP</t>
  </si>
  <si>
    <t>СЕС, м. Тернопіль, вул. За Рудкою, 33</t>
  </si>
  <si>
    <t>HLESHCHAVA1PVSPP</t>
  </si>
  <si>
    <t>СЕС Глещава-1,  літера "А"</t>
  </si>
  <si>
    <t>СЕС Глещава-1, Тернопільська обл., Тернопільський р-н, с. Глещава, вул. Кінець, 81 літера "А"</t>
  </si>
  <si>
    <t>HLESHCHAVA2PVSPP</t>
  </si>
  <si>
    <t>СЕС Глещава-2, літера "Ж"</t>
  </si>
  <si>
    <t>СЕС Глещава-2, Тернопільська обл., Тернопільський р-н, с. Глещава, вул. Кінець, 81 літера "Ж"</t>
  </si>
  <si>
    <t>HLESHCHAVA3PVSPP</t>
  </si>
  <si>
    <t>СЕС Глещава-3,  літера "Р"</t>
  </si>
  <si>
    <t>СЕС Глещава-3, Тернопільська обл., Тернопільський р-н, с. Глещава, вул. Загребля, 41В літера "Р"</t>
  </si>
  <si>
    <t>HLESHCHAVA4PVSPP</t>
  </si>
  <si>
    <t>СЕС Глещава-4, літера "В" та "Г"</t>
  </si>
  <si>
    <t>СЕС Глещава-4, Тернопільська обл., Тернопільський р-н, с. Глещава, вул. Загребля, 41В літера "В" та "Г"</t>
  </si>
  <si>
    <t>HLESHCHAVA5PVSPP</t>
  </si>
  <si>
    <t>СЕС Глещава-5, літера "З" та "Й"</t>
  </si>
  <si>
    <t>СЕС Глещава-5, Тернопільська обл., Тернопільський р-н, с. Глещава, вул. Кінець, 81 літера "З" та "Й"</t>
  </si>
  <si>
    <t>MYKULYNTSI1PVSPP</t>
  </si>
  <si>
    <t>СЕС Микулинці-1,  літера "Є"</t>
  </si>
  <si>
    <t>СЕС Микулинці-1, Тернопільська обл., Теребовлянський р-н, смт Микулинці, вул. Сенчихіна, 17 літера "Є"</t>
  </si>
  <si>
    <t>MYKULYNTSI2PVSPP</t>
  </si>
  <si>
    <t>СЕС Микулинці-2,  літера "В"</t>
  </si>
  <si>
    <t>СЕС Микулинці-2, Тернопільська обл., Теребовлянський р-н, смт Микулинці, вул. Сенчихіна, 17 літера "В"</t>
  </si>
  <si>
    <t>WOGVASPVSPP</t>
  </si>
  <si>
    <t>СЕС "Василівка"</t>
  </si>
  <si>
    <t>СЕС "Василівка", Запорізька обл., м. Василівка, мікрорайон 40 Років Перемоги, 16</t>
  </si>
  <si>
    <t>WOGVAS2PVSPP</t>
  </si>
  <si>
    <t>СЕС "Василівка 2"</t>
  </si>
  <si>
    <t>СЕС "Василівка 2", Запорізька обл., Василівський р-н, с. Підгірне</t>
  </si>
  <si>
    <t>WOGDOBROPVSPP</t>
  </si>
  <si>
    <t>СЕС "Добровольського"</t>
  </si>
  <si>
    <t>СЕС "Добровольського", Одеська обл., Комінтернівський р-н, с. Фонтанка</t>
  </si>
  <si>
    <t>ТОВ "Вінниця-енергосервіс"</t>
  </si>
  <si>
    <t>СЕС, Вінницька обл., Тивровський р-н, м. Гнівань, вул. Промислова, 5</t>
  </si>
  <si>
    <t>GRILPVSPP</t>
  </si>
  <si>
    <t>ТОВ ФІРМА "ГРІЛЬ"</t>
  </si>
  <si>
    <t>СЕС, м. Дніпропетровськ, вул. Барикадна, 1а</t>
  </si>
  <si>
    <t>DELTAWOGPVSPP</t>
  </si>
  <si>
    <t>ТОВ "ДЕЛЬТА ВЕСТ ОЙЛ ГРУП"</t>
  </si>
  <si>
    <t>СЕС "Балабине", Запорізька обл., Запорізький р-н, смт Балабине, вул. Українська, 2д</t>
  </si>
  <si>
    <t>ESEPVSPP</t>
  </si>
  <si>
    <t>ТОВ "ЕКВАТОР САН ЕНЕРДЖІ"</t>
  </si>
  <si>
    <t>ФЕС, Харківська обл., Харківський р-н, с. Котляри, вул. Безлюдівська, 2</t>
  </si>
  <si>
    <t>GALICHINAPVSPP</t>
  </si>
  <si>
    <t>ТОВ "ЗАВОД "ГАЛИЧИНА"</t>
  </si>
  <si>
    <t>СЕС "Нова Лінія", Одеська обл., Біляївський р-н, с. Усатівка</t>
  </si>
  <si>
    <t>MANAGESSPVSPP</t>
  </si>
  <si>
    <t>ТОВ "МЕНЕДЖЕС УКРАЇНА"</t>
  </si>
  <si>
    <t>СЕС, м. Запоріжжя, вул. Перемоги, буд. 70 Б</t>
  </si>
  <si>
    <t>ТОВ "Укртауер"</t>
  </si>
  <si>
    <t>Рівненська обл. село. Городок, вул Барона Штейнгеля, 3-а</t>
  </si>
  <si>
    <t>ТОВ "ЧИСТА ЕНЕРГІЯ-2011"</t>
  </si>
  <si>
    <t>СЕС, м. Черкаси, вул. Громова, 138</t>
  </si>
  <si>
    <t>AGROMONTAZHPVSPP</t>
  </si>
  <si>
    <t>ТОВ "АГРОМОНТАЖНИК"</t>
  </si>
  <si>
    <t>СЕС, м.Дніпро, вул.Хвойна, 104, 1 черга</t>
  </si>
  <si>
    <t>ТОВ "Агромонтажник"</t>
  </si>
  <si>
    <t>СЕС, м.Дніпро, вул.Хвойна, 104, 2 черга</t>
  </si>
  <si>
    <t>СЕС, Харківська обл., м.Харків, вул.Металіста, 6</t>
  </si>
  <si>
    <t>СЕС, Харківська обл., Дергачівський р-н, смт.Пересічне, вул.Сумський шлях, 1к</t>
  </si>
  <si>
    <t>ПП "Альтена ГНГ"</t>
  </si>
  <si>
    <t xml:space="preserve">м. Київ  </t>
  </si>
  <si>
    <t>СЕС, м.Київ, пр.Академіка Палладіна, 33</t>
  </si>
  <si>
    <t>СЕС, Чернівецька обл.,м.Чернівці, вул. Галицький Шлях, 46-М</t>
  </si>
  <si>
    <t>Жовківський</t>
  </si>
  <si>
    <t>с.Малехів, вул. Т.Дороша, 20 а</t>
  </si>
  <si>
    <t>Львівська обл., Кам"янка-Бузький р-н, смт. Запитів, на території ВАТ "Львівська товарно-сировинна фірма "Львівресурси"</t>
  </si>
  <si>
    <t>Львівська обл., Пустомитівський р-н, с.Сокільники, вул. Скнилівська, 21</t>
  </si>
  <si>
    <t>Львівська обл., Жовківський р-н, с.Малехів, вул. Т.Дороша, 20 а, 2 черга</t>
  </si>
  <si>
    <t>м.Львів, вул.Пластова, 10</t>
  </si>
  <si>
    <t>ТОВ "АТП-Енерджі"</t>
  </si>
  <si>
    <t>СЕС "АТП"</t>
  </si>
  <si>
    <t>СЕС "АТП", Івано-Франківська обл., м.Івано-Франківськ, с.Микитинці, вул.Юності, 52, 52а, 1 черга</t>
  </si>
  <si>
    <t>ТОВ "Бі Енерджі"</t>
  </si>
  <si>
    <t>СЕС, м.Черкаси, вул.Громова 138,</t>
  </si>
  <si>
    <t>ТОВ "Бріар"</t>
  </si>
  <si>
    <t>СЕС, Тернопільська обл., Бучацький р-н, с. Скоморохи, вул. Задвірка 7, та вул. Молодіжна 2</t>
  </si>
  <si>
    <t>ТОВ "Благодар-Солар"</t>
  </si>
  <si>
    <t>СЕС, Дніпропетровська обл., Дніпровський р-н, с. Новоолександрівка, вул. Центральна, 86, 92</t>
  </si>
  <si>
    <t>FOPBOAIGLENPVSPP</t>
  </si>
  <si>
    <t>ФІЗИЧНА ОСОБА-ПІДПРИЄМЕЦЬ БУРЛАЙ ОЛЕНА АНАТОЛІЇВНА</t>
  </si>
  <si>
    <t>СЕС, Київська обл., Броварський р-н, с.Требухів, вул.Броварська 25, 1 пусковий комплекс</t>
  </si>
  <si>
    <t>ТОВ "Вайтел Трейд"</t>
  </si>
  <si>
    <t>Дніпропетровська обл., м.Дніпро, вул.Березинська, 58</t>
  </si>
  <si>
    <t>Дніпропетровська обл., м.Дніпро, вул.Березинська, буд.58</t>
  </si>
  <si>
    <t>СФГ "ВІДРОДЖЕННЯ"</t>
  </si>
  <si>
    <t>Полтавська обл., м.Гребінка, вул. Городищенська, 88 та 88-Б</t>
  </si>
  <si>
    <t>TRAKSOLARPVSPP</t>
  </si>
  <si>
    <t>ТОВ "В.Р. ТРАК ШИНА"</t>
  </si>
  <si>
    <t>СЕС "Трак Солар"</t>
  </si>
  <si>
    <t>СЕС "Трак Солар", Кіровоградська обл., Кіровоградський р-н, м.Кропивницький, вул. Виставочна, 1В</t>
  </si>
  <si>
    <t>ТОВ "Гідрокаскад"</t>
  </si>
  <si>
    <t>СЕС, Вінницька обл., м.Жмеринка, вул.Магістральна, 67</t>
  </si>
  <si>
    <t>ТОВ "Гойко"</t>
  </si>
  <si>
    <t>СЕС, Івано-Франківська обл., Рожнятівський р-н, с.Князівське, вул. Л.Українки, буд.14</t>
  </si>
  <si>
    <t>ТОВ "Грін Енерджі Інвест"</t>
  </si>
  <si>
    <t>СЕС "Меблева"</t>
  </si>
  <si>
    <t>СЕС "Меблева", Івано-Франківська обл., м.Івано-Франківськ, вул. Левинського, буд.1, 1черга</t>
  </si>
  <si>
    <t>Київська обл., Яготинський р-н, с.Червоне, вул. Набережна, буд.34 та буд.42</t>
  </si>
  <si>
    <t>ТОВ "ДДТ Енерджі"</t>
  </si>
  <si>
    <t>Херсонська обл., Каховський р-н, с.Коробки, вул.Виробнича, 11 та 11-а</t>
  </si>
  <si>
    <t>ТОВ "Дністер-Електро"</t>
  </si>
  <si>
    <t>СЕС, Тернопільська обл., м.Тернопіль, вул.15 квітня, 1-Г та 1-З</t>
  </si>
  <si>
    <t>ПП "Егор"</t>
  </si>
  <si>
    <t>Дніпропетровська обл., м.Дніпро, вул. Амур-Гавань, 5-А</t>
  </si>
  <si>
    <t>ТОВ "Екоенергія Плюс"</t>
  </si>
  <si>
    <t>СЕС, Хмельницька обл., Хмельницький р-н, с.Розсоша, вул.Академіка Заболотного, 86/1</t>
  </si>
  <si>
    <t>EEDP_PVSPP</t>
  </si>
  <si>
    <t>ТОВ "ЕКОЕНЕРДЖІДП"</t>
  </si>
  <si>
    <t>Дніпропетровська обл., Дніпровський р-н, смт. Слобожанське, вул. Теплична, буд.26</t>
  </si>
  <si>
    <t>СЕС, м.Київ, вул.Березнева, буд.10</t>
  </si>
  <si>
    <t>ТОВ "Екотех-Юг"</t>
  </si>
  <si>
    <t>Херсонська обл., Бериславський р-н, с.Новорайськ, вул.Промислова, б/н, на території ТОВ "Зоотехнологія", 1-2 черги</t>
  </si>
  <si>
    <t>ТОВ "Електронні інновації"</t>
  </si>
  <si>
    <t>Київська обл., м.Вишгород, вул. Шолуденка, 19</t>
  </si>
  <si>
    <t>EG_DAKH_3_PVSPP</t>
  </si>
  <si>
    <t>с. Якушинці</t>
  </si>
  <si>
    <t>вул.Колгоспна б/н</t>
  </si>
  <si>
    <t>EG_DAKH_4_PVSPP</t>
  </si>
  <si>
    <t>с. Зарванці</t>
  </si>
  <si>
    <t>вул.Сосонова 17</t>
  </si>
  <si>
    <t>ТОВ "Енерго-Груп-2018"</t>
  </si>
  <si>
    <t>СЕС, Миколаївська обл., м. Первомайськ, вул. Чернецького, 110</t>
  </si>
  <si>
    <t>ТОВ "Енерго Сан"</t>
  </si>
  <si>
    <t>СЕС, Івано-Франківська обл., м.Івано-Франківськ, вул. С.Височана, 34</t>
  </si>
  <si>
    <t>СЕС, Дніпропетровська обл., м.Жовті Води, вул.Гагаріна, 40-34</t>
  </si>
  <si>
    <t>ТзОВ "Закарпат Енерго Ресурс"</t>
  </si>
  <si>
    <t>СЕС, Закарпатська обл., м.Мукачево, вул.Кооперативна, 4, 4-а</t>
  </si>
  <si>
    <t>ТОВ "Індустрія Авто-Плюс"</t>
  </si>
  <si>
    <t>Хмельницька обл., м.Хмельницький, вул.Волочиська, 1/11А</t>
  </si>
  <si>
    <t>ТОВ "Інтелком"</t>
  </si>
  <si>
    <t>Івано-Франківська обл., м.Івано-Франківськ, вул. Микитеницька, 7а та 7е, 1-3 черги СЕС</t>
  </si>
  <si>
    <t>СЕС, м.Івано-Франківськ, вул.Микитинецька, 7А</t>
  </si>
  <si>
    <t>ТОВ "Інтеренерго Груп"</t>
  </si>
  <si>
    <t>СЕС, Івано-Франківська обл., с.Жураки, вул. Січових Стрільців, 41А</t>
  </si>
  <si>
    <t>ТОВ "Іріс-2009"</t>
  </si>
  <si>
    <t>СЕС, Житомирська обл. с.Сінгури, вул.Леніна 14а</t>
  </si>
  <si>
    <t>ПП "Зелена Енергія"</t>
  </si>
  <si>
    <t>СЕС, Івано-Франківська обл., Богородчанський р-н, смт. Богородчани, вул. І.Петраша, 39В</t>
  </si>
  <si>
    <t>ТОВ "Кару Енерго"</t>
  </si>
  <si>
    <t>Закарпатська обл., м.Берегово, вул. Запорізька, 50, 1 черга</t>
  </si>
  <si>
    <t>Закарпатська обл., м.Берегово, вул. Запорізька, 50, 2 черга</t>
  </si>
  <si>
    <t>ТОВ "Квалітет-Плюс"</t>
  </si>
  <si>
    <t>Дніпропетровська обл., Петриківський р-н, с.Єлизаветівка, вул.Індустріальна 9-а</t>
  </si>
  <si>
    <t>ТОВ "Квітка-Енерджі"</t>
  </si>
  <si>
    <t>Черкаська обл., Корсунь-Шевченківський р-н, с. Квітки, вул. Орджонікідзе, буд. 8/1</t>
  </si>
  <si>
    <t>КТ "ПП В.А.Т "Компанія "Дніпро" і Компанія"</t>
  </si>
  <si>
    <t>СЕС, Херсонська обл.,м.Херсон, вул.Робоча, 66, 1 черга</t>
  </si>
  <si>
    <t>ТОВ "Кузьмин Енерджі"</t>
  </si>
  <si>
    <t>СЕС, Хмельницька обл., Городоцький р-н, с/рада Кузьминська, комплекс будівель та споруд № 1, буд. 1</t>
  </si>
  <si>
    <t xml:space="preserve">Городоцький р-н, с/р Кузьминська, Комплекс будівель та споруд No 1 буд.2 та </t>
  </si>
  <si>
    <t>ТОВ "МВ Альянс"</t>
  </si>
  <si>
    <t>Херсонська обл., Чаплинський р-н, с.Долинське, вул. Центральна, 1А та 1Б, вул. Каховська, 15, 1 черга</t>
  </si>
  <si>
    <t>ТОВ "Макс Лайт"</t>
  </si>
  <si>
    <t>м.Київ, вул.Глибочицька, 53</t>
  </si>
  <si>
    <t>ФОП Малик Тарас Дмитрович</t>
  </si>
  <si>
    <t>СЕС, Тернопільська обл., Тернопільський р-н, смт. Велика Березовиця, вул. Академіка Студинського, 6</t>
  </si>
  <si>
    <t>ТОВ "Нафтогаз Автоматизація"</t>
  </si>
  <si>
    <t>СЕС, Запорізька обл., Запорізький р-н, с. Петропавлівка, вул. Центральна, 1а</t>
  </si>
  <si>
    <t>с.Петропавлівка,вул,Центральна,1-а</t>
  </si>
  <si>
    <t>ТОВ "Н-Тер"</t>
  </si>
  <si>
    <t>СЕС-1, Тернопільська обл., м.Тернопіль, вул. Подільська, 21</t>
  </si>
  <si>
    <t>ПП Фірма "Ольга"</t>
  </si>
  <si>
    <t>СЕС, м.Київ, просп.Перемоги 62 а, (1 ччерга)</t>
  </si>
  <si>
    <t>ТОВ "Патріот Енерго"</t>
  </si>
  <si>
    <t>СЕС, Рівненська обл., Рівненський р-н, с.Козлин, вул. Колгоспна, 24</t>
  </si>
  <si>
    <t>PRIDEPVSPP</t>
  </si>
  <si>
    <t>ПП "Прайд - Енерджи"</t>
  </si>
  <si>
    <t>м.Токмак</t>
  </si>
  <si>
    <t>вул.Гагаріна , 25</t>
  </si>
  <si>
    <t>ПП "РБП-Плюс"</t>
  </si>
  <si>
    <t>СЕС "РБП-Плюс"</t>
  </si>
  <si>
    <t>СЕС "РБП-Плюс", м.Рівне, вул. Курчатова, 18 А</t>
  </si>
  <si>
    <t>RIV400PK2PVSPP</t>
  </si>
  <si>
    <t>СЕС, Кіровоградська обл., Новоукраїнський р-н, с.Рівне, вул. Енгельса, 2, 2 пусковий комплекс</t>
  </si>
  <si>
    <t>ТОВ "Ремонтник"</t>
  </si>
  <si>
    <t>ФЕС "Ремонтник", Деснянський р-н, м.Київ, вул.Електротехнічна, 4-А</t>
  </si>
  <si>
    <t>ПП "Ренжел"</t>
  </si>
  <si>
    <t>СЕС, Львівська обл., Пустомитівський р-н, с. Скнилів, вул. Окружна, 9</t>
  </si>
  <si>
    <t>ТОВ "Респект Енерго-Плюс"</t>
  </si>
  <si>
    <t>СЕС "ФЕС СВІТ-1"</t>
  </si>
  <si>
    <t>СЕС "ФЕС СВІТ-1", Закарпатська обл., Мукачівський р-н, с.Жуково, вул. Миру,1-А</t>
  </si>
  <si>
    <t>СЕС "ФЕС СВІТ-2"</t>
  </si>
  <si>
    <t>СЕС "ФЕС СВІТ-2", Закарпатська обл., Мукачівський р-н, с.Іванівці, вул. Фізкультурна, 16</t>
  </si>
  <si>
    <t>ТОВ "Рода-Сучасна Енергія"</t>
  </si>
  <si>
    <t>СЕС, м.Київ, вул.Миру, 19</t>
  </si>
  <si>
    <t>ПП "Роіл"</t>
  </si>
  <si>
    <t>Дніпропетровська обл., м.Дніпро, Полтавське шосе, 619</t>
  </si>
  <si>
    <t>ПП "Руф Проджект"</t>
  </si>
  <si>
    <t>м.Запоріжжя, вул.Антена, 8</t>
  </si>
  <si>
    <t>СЕС, м.Запоріжжя, вул. Антенна, 8</t>
  </si>
  <si>
    <t>ТОВ "Сонячна Генерація"</t>
  </si>
  <si>
    <t>СЕС, Чернігівська обл., м. Прилуки, вул.Незалежності, буд. 61</t>
  </si>
  <si>
    <t>м. Прилуки, провулок 1 Гетьмана Івана Виговського, буд. 3</t>
  </si>
  <si>
    <t>SANENERGOPVSPP</t>
  </si>
  <si>
    <t>ТОВ "САН ЕНЕРГО"</t>
  </si>
  <si>
    <t>м.Черкаси, вул.Пацаєва, 99</t>
  </si>
  <si>
    <t>SANENERGO2PVSPP</t>
  </si>
  <si>
    <t>СЕС-2, Черкаська обл., м.Черкаси, вул.Пацаєва, 53</t>
  </si>
  <si>
    <t>ТОВ СВП "Світлодар"</t>
  </si>
  <si>
    <t>СЕС "Світлодар"</t>
  </si>
  <si>
    <t>СЕС "Світлодар", Кіровоградська обл., Добровеличківський р-н, смт. Добровеличківка, вул.Поповича, 2А-3</t>
  </si>
  <si>
    <t>ТОВ "Світло Хорса"</t>
  </si>
  <si>
    <t>Дніпропетровська обл., м.Дніпро, пр.Богдана Хмельницького, 156</t>
  </si>
  <si>
    <t>ТОВ "Сервісагро-Полтава"</t>
  </si>
  <si>
    <t>Полтавська обл., Любенський р-н, с.Остапівка, вул.Гагаріна, 17я</t>
  </si>
  <si>
    <t>г</t>
  </si>
  <si>
    <t>м.Вінниця, вул.Максима Шимка, 42А</t>
  </si>
  <si>
    <t>м.Вінниця, пров.Станіславського, 16</t>
  </si>
  <si>
    <t>Вінницька обл., м.Ладижин, вул. Будівельників, буд.38а</t>
  </si>
  <si>
    <t>ТОВ "Сідвей"</t>
  </si>
  <si>
    <t>СЕС "Сідвей"</t>
  </si>
  <si>
    <t>СЕС "Сідвей", Миколаївська обл., м.Новий Буг, вул. Цибулько, 67</t>
  </si>
  <si>
    <t>Бориславська СЕС "Синтез-1"</t>
  </si>
  <si>
    <t>Бориславська СЕС "Синтез-1", Львівська обл., м.Борислав, вул.Трускавецька, 125</t>
  </si>
  <si>
    <t>ТОВ "Скайфол Енерджі"</t>
  </si>
  <si>
    <t>Івано-Франківська обл., м.Івано-Франківськ, вул.Галицька, 22</t>
  </si>
  <si>
    <t>Івано-Франківська обл., м.Івано-Франківськ, вул.Ботанічна, 2</t>
  </si>
  <si>
    <t>ТОВ "Солар Вейв Енерджи"</t>
  </si>
  <si>
    <t>СЕС, Бориспільська-1</t>
  </si>
  <si>
    <t>СЕС, Бориспільська-1, Київська обл., м.Бориспіль, вул.Ушакова, 1 пусковий комплекс</t>
  </si>
  <si>
    <t>ТОВ "Солар Інвестмент Груп"</t>
  </si>
  <si>
    <t>СЕС "Смарагд"</t>
  </si>
  <si>
    <t>СЕС "Смарагд", Київська обл., Броварський р-н, вул. Соборна (Радгоспна), 61</t>
  </si>
  <si>
    <t>СЕС "Дахова I"</t>
  </si>
  <si>
    <t>СЕС "Дахова I", м.Дніпро, вул. Донецьке шосе, буд. 186</t>
  </si>
  <si>
    <t>СЕС "Дахова II"</t>
  </si>
  <si>
    <t>СЕС "Дахова II", м. Запоріжжя, вул. Привокзальна, буд. 9-Б</t>
  </si>
  <si>
    <t>ТОВ "Солар-Фарм"</t>
  </si>
  <si>
    <t>СЕС, Київська обл., Ставищенський р-н, смт. Ставище, вул. Вереснева, 1</t>
  </si>
  <si>
    <t>ТОВ "Соляріс Опес"</t>
  </si>
  <si>
    <t>СЕС, м.Миколаїв, вул.Веселинівська, 34</t>
  </si>
  <si>
    <t>СЕС, Чернівецька обл., Новоселицький р-н, с.Рідківці, вул.Будівельників, буд.16, 18</t>
  </si>
  <si>
    <t>СЕС, Чернівецька обл., Новоселицький р-н, с.Рідківці, вул.Будівельників, 12, 14</t>
  </si>
  <si>
    <t>ТОВ "Сонце Покуття"</t>
  </si>
  <si>
    <t>Івано-Франківська обл., м.Коломия, вул. Г.Тютюнника, 11</t>
  </si>
  <si>
    <t>ТОВ "Студениківська ФЕС"</t>
  </si>
  <si>
    <t>"Студениківська ФЕС", 1 та 2 черги</t>
  </si>
  <si>
    <t>1 та 2 черги "Студениківської ФЕС", Київська обл., Переяслав- Хмельницький р-н, с.Студеники, вул.Студениківська, 15</t>
  </si>
  <si>
    <t>СФГ "Павлівське"</t>
  </si>
  <si>
    <t>Дніпропетровська обл., Васильківський р-н, с.Павлівка, вул.Центральна, 146</t>
  </si>
  <si>
    <t>ТОВ "Сфера Технологій"</t>
  </si>
  <si>
    <t>СЕС "Вишнівчик"</t>
  </si>
  <si>
    <t>СЕС "Вишнівчик", Тернопільська обл., Теребовлянський р-н, с.Вишнівчик, вул. Колонія, 18</t>
  </si>
  <si>
    <t>ПАП "Топільче"</t>
  </si>
  <si>
    <t>СЕС "Глещава"</t>
  </si>
  <si>
    <t>СЕС "Глещава", Тернопільська обл., Теребовлянський р-н, с.Глещава, вул.Загребля, буд. 41, 41-в</t>
  </si>
  <si>
    <t>СЕС "Ілавче"</t>
  </si>
  <si>
    <t>СЕС "Ілавче", Тернопільська обл., Теребовлянський р-н, с. Ілавче, вул. Хліборобська, буд. 17</t>
  </si>
  <si>
    <t>ТОВ "Трансекоресурс"</t>
  </si>
  <si>
    <t>СЕС, Кіровоградська обл.,смт. Знам"янка Друга, вул. Степова, буд.3-а</t>
  </si>
  <si>
    <t>ПАТ "УКРТРАНСГАЗ"</t>
  </si>
  <si>
    <t>Київська обл., м.Боярка, вул.Білогородська, буд. 61</t>
  </si>
  <si>
    <t>ТОВ "Цифро Інфо Тех"</t>
  </si>
  <si>
    <t xml:space="preserve">Сумська </t>
  </si>
  <si>
    <t>СЕС, Сумська обл., м.Ромни, вул. Макаренка, 12</t>
  </si>
  <si>
    <t>ТОВ "ЧеркасиЕлеваторТорг"</t>
  </si>
  <si>
    <t>СЕС-1, Черкаська обл., м.Черкаси, пров.Хіміків, 8</t>
  </si>
  <si>
    <t>ТОВ "ФЕС Фотон"</t>
  </si>
  <si>
    <t>СЕС, м.Дніпро, вул.Будівельників, 43</t>
  </si>
  <si>
    <t>Івано-Франківська обл., м.Івано-Франківськ, вул.Дністровська, 26</t>
  </si>
  <si>
    <t>Івано-Франківська обл., Тисменицький р-н, с.Стриганці, вул.Незалежності, 41а</t>
  </si>
  <si>
    <t>СЕС, Івано-Франківська обл., Тисменицький р-н, с.Марківці, вул. Нивки, 65</t>
  </si>
  <si>
    <t>ТОВ "Хім-Агро Груп"</t>
  </si>
  <si>
    <t>СЕС-1, Херсонська обл., Скадовський р-н, с. Новоросійське, вул. Гагаріна, 20</t>
  </si>
  <si>
    <t>ТОВ «СОЛАР ФАРМ-3»</t>
  </si>
  <si>
    <t>1-3 черги СЕС «Покровська СЕС»</t>
  </si>
  <si>
    <t>Дніпропетровська обл., Нікопольський р-н, за межами населених пунктів Покровської сільської ради</t>
  </si>
  <si>
    <t>ТОВ «ЖУРАКІВСЬКА СЕС»</t>
  </si>
  <si>
    <t xml:space="preserve">СЕС </t>
  </si>
  <si>
    <t>Богородчанський р-н, с. Жураки</t>
  </si>
  <si>
    <t>ТОВ «ЛЕДБУД»</t>
  </si>
  <si>
    <t>Чигиринський р-н, с. Трушівці</t>
  </si>
  <si>
    <t xml:space="preserve">ТОВ «СОЛАР-ІНВЕСТ» </t>
  </si>
  <si>
    <t>Хмельницький р-н, на території Чорноострівськоїселищної ради)</t>
  </si>
  <si>
    <t>ТОВ «ТСК СОЛАР ІНВЕСТ»</t>
  </si>
  <si>
    <t>Миколаївськийр-н, с. Петрово-Солониха, вул. Центральна, 29/1)</t>
  </si>
  <si>
    <t>ТОВ «УЖЕНЕРГОСЕРВІС»</t>
  </si>
  <si>
    <t>Перечинський р-н, с. Дубриничі, вул. Центральна)</t>
  </si>
  <si>
    <t>ПП «ЕДДІСОН СОЛАР»</t>
  </si>
  <si>
    <t>Каховський р-н, м. Каховка, пров. Трубний, буд. 9)</t>
  </si>
  <si>
    <t>ТОВ «УБКА»</t>
  </si>
  <si>
    <t>м. Запоріжжя, вул. Базова, 11</t>
  </si>
  <si>
    <t xml:space="preserve">ТОВ «МОСТ-ЕНЕРГО» </t>
  </si>
  <si>
    <t xml:space="preserve">СЕС «Нагірне» </t>
  </si>
  <si>
    <t>Мостицький р-н, с. Нагірне, вул. Зелена, 10А</t>
  </si>
  <si>
    <t>ТОВ «ОСНОВА ЕНЕРГО»</t>
  </si>
  <si>
    <t xml:space="preserve">1-2 черги СЕС </t>
  </si>
  <si>
    <t>м. Виноградів</t>
  </si>
  <si>
    <t>вул. Партизанська б/н</t>
  </si>
  <si>
    <t>ТОВ «САНАЛЬЯНС»</t>
  </si>
  <si>
    <t xml:space="preserve">1 та 2 черги СЕС </t>
  </si>
  <si>
    <t>Чорнобаївський р-н, в адміністративних межах Чорнобаївської с/р)</t>
  </si>
  <si>
    <t>VESTERFPVSPP</t>
  </si>
  <si>
    <t xml:space="preserve">ТОВ «ВЕСТЕР Ф» </t>
  </si>
  <si>
    <t xml:space="preserve"> Зодотоніський р-н, с. Кедина Гора, вул. Шевченка, 86/4 та Шевченка б/н.)</t>
  </si>
  <si>
    <t xml:space="preserve">ПП «КАТРУБ» </t>
  </si>
  <si>
    <t>Теребовлянський р-н, смт Микулинці, вул. Санаторна, 1д, 3а</t>
  </si>
  <si>
    <t>ТОВ «ЕНЕРДЖІ САН»</t>
  </si>
  <si>
    <t>СЕС «Залісся Перше»</t>
  </si>
  <si>
    <t xml:space="preserve"> Кам’янець-Подільський р-н, територія Заліської сільської ради, за межами населених пунктів</t>
  </si>
  <si>
    <t xml:space="preserve">ПП «БАЙКАЛ-УКРАЇНА» </t>
  </si>
  <si>
    <t>СЕС «Байкал-Україна»</t>
  </si>
  <si>
    <t>м. Ладижин,  с. Лукашівка, вул. Садова</t>
  </si>
  <si>
    <t xml:space="preserve">ПП «ЛАДЛЕНД» </t>
  </si>
  <si>
    <t xml:space="preserve">СЕС «Ладленд» </t>
  </si>
  <si>
    <t>с. Лукашівка, вул. Садова</t>
  </si>
  <si>
    <t xml:space="preserve">ТОВ «НІККОМ-СОЛАР» </t>
  </si>
  <si>
    <t xml:space="preserve">СЕС «Малинівка-1» </t>
  </si>
  <si>
    <t>Чернігівський р-н, с. Малинівка, вул. Чернігівська, 6Б</t>
  </si>
  <si>
    <t xml:space="preserve">ТОВ «ПРОМЕНЕЙРА» </t>
  </si>
  <si>
    <t>СЕС «Роздільська» 1 пусковий комплекс</t>
  </si>
  <si>
    <t>Миколаївський р-н,  Березинська сільська рада</t>
  </si>
  <si>
    <t>СЕС «Роздільська» 2 пусковий комплекс</t>
  </si>
  <si>
    <t xml:space="preserve">Миколаївський р-н,  Розвадівська сільська рада </t>
  </si>
  <si>
    <t xml:space="preserve">ТОВ «ПОРТ-СОЛАР» </t>
  </si>
  <si>
    <t xml:space="preserve"> м. Ізмаїл, вул. Ушакова, 1-а</t>
  </si>
  <si>
    <t>ТОВ «СТАВКИ СОЛАР»</t>
  </si>
  <si>
    <t>1черга СЕС «Ставки»</t>
  </si>
  <si>
    <t>Піщанському р-ні, Ставківська с/р</t>
  </si>
  <si>
    <t xml:space="preserve">ТЗОВ «ВЕРДЕ-ІНВЕСТ» </t>
  </si>
  <si>
    <t>Стрийський р-н, с. Грабовець, вул. Поповича, 11а</t>
  </si>
  <si>
    <t xml:space="preserve">ТОВ «ЕНЕРГОЛУЧ» </t>
  </si>
  <si>
    <t xml:space="preserve">СЕС «Енерголуч» </t>
  </si>
  <si>
    <t>Добровеличківський р-н, м. Помічна, вул. Гагаріна, 56-А, 64, с. Олексіївка, пров. Степовий, 2</t>
  </si>
  <si>
    <t xml:space="preserve">ТОВ «ТЛ СОЛАР» </t>
  </si>
  <si>
    <t>м. Київ, вул. Богатирська, 11</t>
  </si>
  <si>
    <t xml:space="preserve">ТОВ «ГІЛЬДЕНДОРФ ЕНЕРДЖИ» </t>
  </si>
  <si>
    <t>Лиманський р-н, Красносільська сільська рада</t>
  </si>
  <si>
    <t xml:space="preserve">ТОВ «КУЛІНДОР ЕНЕРДЖИ» </t>
  </si>
  <si>
    <t xml:space="preserve">ТОВ «РЕНДЖИ БІОЕНЕРГО» </t>
  </si>
  <si>
    <t xml:space="preserve">СЕС «Афанасіївка» </t>
  </si>
  <si>
    <t>Снігурівський р-ні, с. Афанасіївка, вул. Насосна ГНС, 6</t>
  </si>
  <si>
    <t xml:space="preserve">СЕС «Таборівка» </t>
  </si>
  <si>
    <t>Вознесенський р-н, комплекс будівель та споруд No 17 (територіяБузької сільської ради (за межами населеного пункту)</t>
  </si>
  <si>
    <t xml:space="preserve">СЕС «Токарівка» </t>
  </si>
  <si>
    <t>Веселинівський р-н,  смт Токарівка, вул. Шевченка, буд. 55</t>
  </si>
  <si>
    <t>ТОВ «ЕКОТЕХНІК-ВІНЬКІВЦІ»</t>
  </si>
  <si>
    <t xml:space="preserve">Віньковецький р-н, смт Віньківці, вул. Винниченка </t>
  </si>
  <si>
    <t xml:space="preserve">ТОВ «СОЛАР ВЕЙВ ДНІПРО» </t>
  </si>
  <si>
    <t xml:space="preserve">Криничанський р-н, територія Аулівської селищної ради (за межаминаселеного пункту) </t>
  </si>
  <si>
    <t xml:space="preserve">ТОВ «ЕЛЕКТРО-ЗАКАРПАТТЯ» </t>
  </si>
  <si>
    <t>СЕС «Ужгород» З</t>
  </si>
  <si>
    <t>м. Ужгород, вул. Залізнична, буд. 11</t>
  </si>
  <si>
    <t xml:space="preserve">ТОВ «НІК САН СТАР» </t>
  </si>
  <si>
    <t xml:space="preserve">СЕС «Новогригорівка» </t>
  </si>
  <si>
    <t xml:space="preserve">Вознесенський район, територія Новогригорівської сільської ради </t>
  </si>
  <si>
    <t xml:space="preserve">ТОВ «НІК СОЛАР 2» </t>
  </si>
  <si>
    <t xml:space="preserve">СЕС «Костичі» </t>
  </si>
  <si>
    <t>Баштанський р-н, територія Костичівської сільської ради (</t>
  </si>
  <si>
    <t xml:space="preserve">ТОВ «УКРСПЕЦСТРОЙ ПЛЮС» </t>
  </si>
  <si>
    <t>СЕС «Балівка»</t>
  </si>
  <si>
    <t>Дніпровський р-н, територія Балівської сільської радикомплекс будівель і споруд No 2)</t>
  </si>
  <si>
    <t xml:space="preserve">ТОВ «НІК ГРІН» </t>
  </si>
  <si>
    <t xml:space="preserve">СЕС «Веселинове» </t>
  </si>
  <si>
    <t>Веселинівський р-н, на території Веселинівської селищної ради)</t>
  </si>
  <si>
    <t xml:space="preserve">ТОВ «САН-ЕНЕРДЖИ УКРАЇНА» </t>
  </si>
  <si>
    <t>"СЕС Кривачинці-2» Х</t>
  </si>
  <si>
    <t>Волочиський р-н, с. Кривачинці, вул. Центральна,55</t>
  </si>
  <si>
    <t xml:space="preserve">ТОВ «САНСТАР ПРИВІЛЬНЕ» </t>
  </si>
  <si>
    <t>СЕС «САНСТАР ПРИВІЛЬНЕ»</t>
  </si>
  <si>
    <t>Баштанськийрайон, територіяПривільненської сільської ради (за межами населенго пункту)</t>
  </si>
  <si>
    <t xml:space="preserve">ТОВ «ФОРА-С2» </t>
  </si>
  <si>
    <t xml:space="preserve">СЕС «Іване-Золоте 1» </t>
  </si>
  <si>
    <t xml:space="preserve">Заліщинський р-н, с/рада Івано Золотівська </t>
  </si>
  <si>
    <t>СЕС «Іване-Золоте 2»</t>
  </si>
  <si>
    <t xml:space="preserve">ТОВ «ЕНЕРДЖИ ДЕН» </t>
  </si>
  <si>
    <t xml:space="preserve">СЕС «Явкине» </t>
  </si>
  <si>
    <t xml:space="preserve">ериторія Явкинської сільської ради Баштанського району </t>
  </si>
  <si>
    <t xml:space="preserve">ТЗОВ «ТЕРНОВИЦЯ СОЛАР» </t>
  </si>
  <si>
    <t xml:space="preserve">1 черга СЕС «СЕС ТЕРНОВИЦЯ СОЛАР» </t>
  </si>
  <si>
    <t xml:space="preserve">Яворівський р-н, с. Терновиця </t>
  </si>
  <si>
    <t xml:space="preserve">ТЗОВ «ТЕРНОВИЦЯ СОЛАР ПЛЮС» </t>
  </si>
  <si>
    <t xml:space="preserve">1 черга СЕС «СЕС ТЕРНОВИЦЯ СОЛАР ПЛЮС» </t>
  </si>
  <si>
    <t xml:space="preserve">ТОВ «АЗІМУТ ЗАПАД» </t>
  </si>
  <si>
    <t>Білгород-Дністровський</t>
  </si>
  <si>
    <t xml:space="preserve">Білгород-Дністровський р-н, Шабівська сільська рада </t>
  </si>
  <si>
    <t xml:space="preserve">ТОВ «ТАТАРБУНАРИ СОЛАР 2» </t>
  </si>
  <si>
    <t xml:space="preserve">ТОВ «АЛВІ СОЛАР» </t>
  </si>
  <si>
    <t>Запорізький</t>
  </si>
  <si>
    <t>Запорізький р-н, с. Сонячне, вул. Сонячне шосе, буд. 6)</t>
  </si>
  <si>
    <t xml:space="preserve">ТОВ «РЕНТ-ТЕХНО» </t>
  </si>
  <si>
    <t xml:space="preserve">СЕС «Рент-Техно» </t>
  </si>
  <si>
    <t xml:space="preserve">Тисменицький </t>
  </si>
  <si>
    <t>Тисменицький р-н, с. Черніїв</t>
  </si>
  <si>
    <t xml:space="preserve">ТОВ «СОЛАР ЯСКО» </t>
  </si>
  <si>
    <t>Березнівський</t>
  </si>
  <si>
    <t>Березнівський р-н, м. Березне, вул. Зірненська, 14</t>
  </si>
  <si>
    <t xml:space="preserve">ТОВ «ТАРУТИНСЬКА ЕНЕРГЕТИЧНА КОМПАНІЯ» </t>
  </si>
  <si>
    <t>Тарутинський р-н, смт Тарутине, вул. Красна, 5</t>
  </si>
  <si>
    <t>ФГ «АГРО-1»</t>
  </si>
  <si>
    <t>Новобузький р-н, Баратівська сільська рада)</t>
  </si>
  <si>
    <t>ТОВ «Е-СЕЙФ СОСУЛІВКА»</t>
  </si>
  <si>
    <t>1черга СЕС</t>
  </si>
  <si>
    <t>Чортківський</t>
  </si>
  <si>
    <t>Чортківський р-н, с. Сосулівка, вул. Лесі Українки, 96)</t>
  </si>
  <si>
    <t>ТОВ «ІРШАНСЬКА СЕС»</t>
  </si>
  <si>
    <t>СЕС «Іршанська СЕС»</t>
  </si>
  <si>
    <t>Коростенський</t>
  </si>
  <si>
    <t>Коростенський р-н, територія Меленівської сільської ради (за межами населеного пункту)</t>
  </si>
  <si>
    <t>ТОВ «СОЛАР М»</t>
  </si>
  <si>
    <t>СЕС «Широке»</t>
  </si>
  <si>
    <t>Широківський</t>
  </si>
  <si>
    <t>Широківський р-н, смт Широке (в межах населеного пункту)</t>
  </si>
  <si>
    <t>ТОВ «ВІДЕН»</t>
  </si>
  <si>
    <t>Бахмацький</t>
  </si>
  <si>
    <t>Бахмацький р-н, с. Піски, вул. О. Орищенка, 72-а)</t>
  </si>
  <si>
    <t>ФОП Губенок Федір Федорович</t>
  </si>
  <si>
    <t xml:space="preserve"> м. Мелітополь, вул. Гетьманська, 91, буд. Б-1, А-1, И-1, Л-1</t>
  </si>
  <si>
    <t>ТОВ «ЗАВОД «ОПТІКОН»</t>
  </si>
  <si>
    <t>, м. Балта, вул. Шевченко, буд. 15)</t>
  </si>
  <si>
    <t xml:space="preserve">ФОП КРЕМСАРЬ НАДІЯ ВОЛОДИМИРІВНА </t>
  </si>
  <si>
    <t>Приазовський р-н, с. Олександрівка, 12-а (склад No 7)</t>
  </si>
  <si>
    <t>ФОП ЛЕВЧЕНКО СВІТЛАНА ГРИГОРІВНА (</t>
  </si>
  <si>
    <t>Приазовський р-н, с. Олександрівка, вул. Шевченка, 12-а (склад No 7)</t>
  </si>
  <si>
    <t>ТОВ «ФАБРИКА СОЛАР»</t>
  </si>
  <si>
    <t>м. Херсон, вул. Залаегерсег, буд. 18)</t>
  </si>
  <si>
    <t xml:space="preserve">ТОВ «ЕНЕРДЖІТЕХ» </t>
  </si>
  <si>
    <t>Хмельницький р-н, Гвардійська сільська рада с. Гелетинці(за межами намеленого пункту)</t>
  </si>
  <si>
    <t xml:space="preserve">ТОВ «ЕКО-ФОТУРЕ «СТАРА УШИЦЯ» </t>
  </si>
  <si>
    <t>Кам'янець-Подільськийр-н, смтСтара Ушиця, вул. Миру, 4/1</t>
  </si>
  <si>
    <t>ТОВ «ЕКОВАТ ПЛЮС»</t>
  </si>
  <si>
    <t xml:space="preserve">с. ЦіневаЦінівськоїсільської ради Рожнятівського району </t>
  </si>
  <si>
    <t xml:space="preserve">ТОВ «САНЛАЙТ ЕНЕРДЖІ 2» </t>
  </si>
  <si>
    <t>Арбузинський р-н, Арбузинська селищна рада)</t>
  </si>
  <si>
    <t>ТОВ «СОЛАР ЕКОІНВЕСТ»</t>
  </si>
  <si>
    <t>Макарівськийр-н, смтМакарів, вул. Першотравнева)</t>
  </si>
  <si>
    <t xml:space="preserve">ТОВ «СОНЯЧНИЙ ПОРТ» </t>
  </si>
  <si>
    <t xml:space="preserve">Тисменицький р-н, с. Марківці, вул. Центральна </t>
  </si>
  <si>
    <t>ТОВ «ВІДНОВЛЮВАЛЬНІ ДЖЕРЕЛА ЕНЕРГІЇ ЗАКАРПАТТЯ»</t>
  </si>
  <si>
    <t xml:space="preserve"> Виноградівський р-н, с. Великі Ком'яти, вул. Ватутіна, 28</t>
  </si>
  <si>
    <t>SOLING1PVSPP</t>
  </si>
  <si>
    <t>ТОВ "СОЛАР САУС 1"</t>
  </si>
  <si>
    <t>СЕС«Солінг-1»</t>
  </si>
  <si>
    <t>Вітовськийр-н,натериторіїКоларівськоїсільськоїради</t>
  </si>
  <si>
    <t>SOLING2PVSPP</t>
  </si>
  <si>
    <t>СЕС«Солінг-2»</t>
  </si>
  <si>
    <t xml:space="preserve">ТОВ «ГЕЛІОС ЕНЕРДЖИ» </t>
  </si>
  <si>
    <t>Миколаївський р-н, с. Петрово-Солониха, вул. Центральна, 29/2)</t>
  </si>
  <si>
    <t>ТОВ «САНРУФ-ІНВЕСТ»</t>
  </si>
  <si>
    <t xml:space="preserve">СЕС «Санруф-Інвест» </t>
  </si>
  <si>
    <t>Глибоцькийр-н,  с. Тереблече, вул. Головна, буд. 1-И)</t>
  </si>
  <si>
    <t>ТОВ «ПРАЙМ САН»</t>
  </si>
  <si>
    <t>СЕС «Солоне»</t>
  </si>
  <si>
    <t>Вільнянськийр-н, с. Солоне, за межами населеногопункту на територіїСолоненськоїсільськоїради</t>
  </si>
  <si>
    <t>ТОВ«РЕНДЖИЗАПОРІЖЖЯ»</t>
  </si>
  <si>
    <t>1чергаСЕС«Степногірськ»</t>
  </si>
  <si>
    <t>Василівськийр-н,Проммайданчикшахти,No27)</t>
  </si>
  <si>
    <t>ТОВ «ЛЕОПОЛІСЕНЕРДЖІ»</t>
  </si>
  <si>
    <t>Городоцькийр-н, м. Городок, вул. Заводська, 4)</t>
  </si>
  <si>
    <t>ТОВ «ФОРА-С3»</t>
  </si>
  <si>
    <t>СЕС «ЛитячівськаСЕС»</t>
  </si>
  <si>
    <t>Заліщицький</t>
  </si>
  <si>
    <t>с. Литячі</t>
  </si>
  <si>
    <t>Заліщицькийр-н, с. Литячі(</t>
  </si>
  <si>
    <t>ТОВ «МИРО-МАРК»</t>
  </si>
  <si>
    <t>м. Калуш</t>
  </si>
  <si>
    <t>вул. Пилипа Орлика, буд. 2-а</t>
  </si>
  <si>
    <t>ТОВ «А-СОНЯЧНА ЕНЕРГІЯ»</t>
  </si>
  <si>
    <t xml:space="preserve">ТОВ «УЛЯНІВКА-ЕЛІОС» </t>
  </si>
  <si>
    <t xml:space="preserve">ТОВ «БОРКИ СОЛАР» </t>
  </si>
  <si>
    <t>ТОВ «ДАПГРУПЮА»</t>
  </si>
  <si>
    <t>ТОВ «СОЛАР СОЛЮШНС ЮКРЕЙН»</t>
  </si>
  <si>
    <t>ТОВ «МОУТЕН»</t>
  </si>
  <si>
    <t>ТОВ «СЕС ВИНОГРАДОВО»</t>
  </si>
  <si>
    <t>ТОВ «ЕНЕРДЖІ СОЛАР»</t>
  </si>
  <si>
    <t>ТОВ «ЕТГ СОЛАР 5»</t>
  </si>
  <si>
    <t>м. Жовті Води, вул. Об’їзна, 5</t>
  </si>
  <si>
    <t xml:space="preserve">ТОВ «ДНІПРОУКРЕНЕРГО» </t>
  </si>
  <si>
    <t xml:space="preserve">СЕС «Райське» </t>
  </si>
  <si>
    <t xml:space="preserve">м. Нова Каховка, с/рада Райська </t>
  </si>
  <si>
    <t xml:space="preserve">ТОВ «ПРОМІНЬ ЕНЕРГО» </t>
  </si>
  <si>
    <t xml:space="preserve">1 черга СЕС </t>
  </si>
  <si>
    <t>м. Бориспіль, вул. Запорізька, 36-а</t>
  </si>
  <si>
    <t xml:space="preserve">ТОВ «САННІ СІТІ» </t>
  </si>
  <si>
    <t xml:space="preserve">СЕС «Пшеничники» </t>
  </si>
  <si>
    <t>Тисменицький р-н, с. Пшеничники, урочище «Жидівське»)</t>
  </si>
  <si>
    <t>ТОВ «СОЛАР ЕНЕРЖІ-СКІФ»</t>
  </si>
  <si>
    <t>Немирівський р-н, за межами с. Червоне, Мельниківської сільської ради)</t>
  </si>
  <si>
    <t xml:space="preserve">ТОВ «ІНВЕСТМЕН ЕНЕРДЖІ КОМПАНІ» </t>
  </si>
  <si>
    <t xml:space="preserve">СЕС «Луквиця-2» </t>
  </si>
  <si>
    <t>Богородчанський р-н, с. Луквиця, урочище «Пні»)</t>
  </si>
  <si>
    <t>ТОВ «САН ЕНЕРДЖІ»</t>
  </si>
  <si>
    <t xml:space="preserve">2 та 3 черги СЕС «САН ЕНЕРДЖІ МЕЖИРІЧ» </t>
  </si>
  <si>
    <t>Павлоградський р-н, на території Межиріцької сільської ради</t>
  </si>
  <si>
    <t>2 черга СЕС «СЕС ТЕРНОВИЦЯ СОЛАР»</t>
  </si>
  <si>
    <t>Яворівський р-н, с. Терновиця</t>
  </si>
  <si>
    <t xml:space="preserve">ТОВ «ГРК» </t>
  </si>
  <si>
    <t xml:space="preserve">2 черга СЕС </t>
  </si>
  <si>
    <t>Золотоніський</t>
  </si>
  <si>
    <t>с. Коробівка, вул. Лісова, б/н</t>
  </si>
  <si>
    <t>ТОВ «ЕТГ СОЛАР 2»</t>
  </si>
  <si>
    <t>м. Жовті Води, вул. Об’їзна, 5-Ж</t>
  </si>
  <si>
    <t>ТОВ «ПОГРЕБИЩЕ СОЛАР ПАРК»</t>
  </si>
  <si>
    <t>в межах м. Погребище вул. Богуна, 2-Б</t>
  </si>
  <si>
    <t xml:space="preserve">ТОВ «АСТЕРІЯ СОЛАР» </t>
  </si>
  <si>
    <t xml:space="preserve">СЕС «АСТЕРІЯ» </t>
  </si>
  <si>
    <t>Бериславський</t>
  </si>
  <si>
    <t>територія Високівської сільської ради</t>
  </si>
  <si>
    <t xml:space="preserve">ТОВ «БІЛАШКИ ЕНЕРДЖІ» </t>
  </si>
  <si>
    <t>Погребищенський</t>
  </si>
  <si>
    <t>с. Смаржинці, вул. Соколівська, 50</t>
  </si>
  <si>
    <t>ТОВ «ГРІН БУКОВИНА»</t>
  </si>
  <si>
    <t>Глибочицький</t>
  </si>
  <si>
    <t>с. Тереблече, вул. Головна</t>
  </si>
  <si>
    <t>ТОВ «ЕМСОЛТ СОЛАР ЕНЕРДЖІ»</t>
  </si>
  <si>
    <t xml:space="preserve">СЕС «УІМТЛІ ДНІПРО» </t>
  </si>
  <si>
    <t xml:space="preserve"> с/рада Чумаківська</t>
  </si>
  <si>
    <t xml:space="preserve">ТОВ «ПЕРФЕКТ ПАК» </t>
  </si>
  <si>
    <t xml:space="preserve">с/рада Пнівська </t>
  </si>
  <si>
    <t>ТОВ «ПРИМА СОЛАР ЕНЕРДЖІ»</t>
  </si>
  <si>
    <t>СЕС «Таванська 4»</t>
  </si>
  <si>
    <t>територія Бериславської міської ради</t>
  </si>
  <si>
    <t>ТОВ «САНПРОДЖЕКТСИСТЕМС»</t>
  </si>
  <si>
    <t>СЕС «Велика Медведівка»</t>
  </si>
  <si>
    <t>Шепетівський</t>
  </si>
  <si>
    <t>Судилківська ОТГ, за межами
с. Велика Медведівка</t>
  </si>
  <si>
    <t>ТОВ «САН ПАУЕР ПЕРВОМАЙСЬК»</t>
  </si>
  <si>
    <t>СЕС «Первомайськ»</t>
  </si>
  <si>
    <t>м. Первомайськ, вул. Київська/вул. Дружби,</t>
  </si>
  <si>
    <t>ТОВ «ОЛІМП-ЕНЕРГО»</t>
  </si>
  <si>
    <t xml:space="preserve">СЕС-1 </t>
  </si>
  <si>
    <t>Кам’янський</t>
  </si>
  <si>
    <t>с.Телепине, вул. Шевченка, 46/2</t>
  </si>
  <si>
    <t>ТОВ «ЕНЕРГОПАРК ЯВОРІВ»</t>
  </si>
  <si>
    <t>2 черга СЕС «Яворів-1»</t>
  </si>
  <si>
    <t>с. Терновиця</t>
  </si>
  <si>
    <t xml:space="preserve">ТОВ «ФАЙН-ЕЛ» </t>
  </si>
  <si>
    <t>СЕС «Ісаків»</t>
  </si>
  <si>
    <t>с. Ісаків</t>
  </si>
  <si>
    <t>ТОВ «СОЛАР ЕНЕРДЖІ СОЛЮШЕНС»</t>
  </si>
  <si>
    <t>Чемеровецький</t>
  </si>
  <si>
    <t>за межами населених пунктів на території Слобідсько-Смотрицької с/р</t>
  </si>
  <si>
    <t>ТОВ «ГАЛСАН ІНВЕСТ»</t>
  </si>
  <si>
    <t>СЕС «ГАЛСАН»</t>
  </si>
  <si>
    <t>м. Галич</t>
  </si>
  <si>
    <t>вул. Д. Вітовського</t>
  </si>
  <si>
    <t>ТОВ «ДЖІ ПІ СОЛАР»</t>
  </si>
  <si>
    <t>СЕС «ДЖІ ПІ СОЛАР»</t>
  </si>
  <si>
    <t xml:space="preserve">смт Широке </t>
  </si>
  <si>
    <t>ТОВ«НВОСІГМА-Т»</t>
  </si>
  <si>
    <t>територія Піщанської сільськоїради</t>
  </si>
  <si>
    <t xml:space="preserve">ТОВ «НОРД ЮКРЕЙН» </t>
  </si>
  <si>
    <t>Старосинявський</t>
  </si>
  <si>
    <t>смт Стара Синява</t>
  </si>
  <si>
    <t>вул. Заводська</t>
  </si>
  <si>
    <t xml:space="preserve">ТОВ «СОЛАР ЕНЕРДЖІ СОЛЮШНС» </t>
  </si>
  <si>
    <t>м. Підгайці</t>
  </si>
  <si>
    <t>вул. Шевченка, буд. 84С</t>
  </si>
  <si>
    <t>ТОВ«СОНЯЧНАЕНЕРГІЯ2017»</t>
  </si>
  <si>
    <t>СЕС«Гребінка»</t>
  </si>
  <si>
    <t>Гребінківський</t>
  </si>
  <si>
    <t>м.Гребінка</t>
  </si>
  <si>
    <t>пров.Пирятинський, 34-в</t>
  </si>
  <si>
    <t>ТОВ «МІДЛАНД РЕНТ»</t>
  </si>
  <si>
    <t>м. Київ</t>
  </si>
  <si>
    <t>бул. Лесі Українки, буд. 34</t>
  </si>
  <si>
    <t xml:space="preserve">ТОВ «ОЕНЖІ СОЛАР» </t>
  </si>
  <si>
    <t>м. Бориспіль, вул. Завокзальна, 41</t>
  </si>
  <si>
    <t>ТЗОВ «ТЕРНОВИЦЯ СОЛАР ПЛЮС»</t>
  </si>
  <si>
    <t xml:space="preserve">«СЕС ТЕРНОВИЦЯ СОЛАР ПЛЮС» (2 черга) </t>
  </si>
  <si>
    <t xml:space="preserve">ТОВ «ДНІСТЕР-ЕЛЕКТРО» </t>
  </si>
  <si>
    <t>м. Тернопіль</t>
  </si>
  <si>
    <t>вул. Лук'яновича, 8</t>
  </si>
  <si>
    <t xml:space="preserve">ТОВ «САНВІН 11» </t>
  </si>
  <si>
    <t>СЕС «Баранівка»</t>
  </si>
  <si>
    <t>Баранівський</t>
  </si>
  <si>
    <t>м. Баранівка</t>
  </si>
  <si>
    <t>вул. Івана Франка</t>
  </si>
  <si>
    <t>ТОВ «АЛЬТЕС»</t>
  </si>
  <si>
    <t>СЕС «Богдани»</t>
  </si>
  <si>
    <t>Іванківський</t>
  </si>
  <si>
    <t>Дитятківська сільська рада</t>
  </si>
  <si>
    <t xml:space="preserve">ТОВ «ЕКОЕНЕРГОПРОМІНЬ» </t>
  </si>
  <si>
    <t>Жмеринський</t>
  </si>
  <si>
    <t>с. Людавка</t>
  </si>
  <si>
    <t>вул. Молодіжна, б/н</t>
  </si>
  <si>
    <t>ТОВ «КУРС»</t>
  </si>
  <si>
    <t>Берегівський</t>
  </si>
  <si>
    <t>смт Батьово</t>
  </si>
  <si>
    <t>ТОВ «НІКОСОЛАР»</t>
  </si>
  <si>
    <t>Миколаївськаобл.,Вітовськийр-н,Прибузькасільськарада</t>
  </si>
  <si>
    <t>ТОВ «ОЛІМПЕНЕРДЖІ»</t>
  </si>
  <si>
    <t>СЕС «Мартоноша»</t>
  </si>
  <si>
    <t>Кіровоградськаобл.,Новомиргородськийр-н,с.Мартоноша,вул.Степова,земельнаділянка49</t>
  </si>
  <si>
    <t>ТОВ «СОЛАРЛАЙТ»</t>
  </si>
  <si>
    <t>СЕС «Шаланки-1»</t>
  </si>
  <si>
    <t>Закарпатськаобл.,Виноградівськийр-н,с.Шаланки,контурNo363</t>
  </si>
  <si>
    <t>ТОВ «СПАРКСОЛАР»</t>
  </si>
  <si>
    <t>Харківськаобл.,Ізюмськийр-н,Левківськасільськарада</t>
  </si>
  <si>
    <t>ТОВ «ФЕС КИР’ЯКІВКА»</t>
  </si>
  <si>
    <t>СЕС «ФЕС Кир’яківка»</t>
  </si>
  <si>
    <t>Миколаївськаобл., Миколаївськийр-н, с/р Кир'яківська</t>
  </si>
  <si>
    <t>ТОВ «ВЕРБІВЦІ ЕНЕРГО БІО ПРОДУКТ»</t>
  </si>
  <si>
    <t>СЕС«ВербівціСолар»</t>
  </si>
  <si>
    <t>Тернопільськаобл., Теребовлянськийр-н, с.Вербівці, вул. Мазури34</t>
  </si>
  <si>
    <t>ТОВ «ЕНЕРГОСОНЦЕ»</t>
  </si>
  <si>
    <t>Дніпропетровська обл., м. Дніпро, вул.Мічуріна, 9</t>
  </si>
  <si>
    <t>2 черга СЕС</t>
  </si>
  <si>
    <t>Черкаськаобл.,Чигиринськийр-н,с.Трушівці</t>
  </si>
  <si>
    <t>2 черга СЕС «Ставки»</t>
  </si>
  <si>
    <t>Вінницька обл., Піщанський р-н, с. Ставки, вул. Миру 1 «А»</t>
  </si>
  <si>
    <t>ПІДПРИЄМСТВО «ЕНЕРГОГАРАНТ» У ФОРМІ ТОВ</t>
  </si>
  <si>
    <t>Вінницька обл., Вінницький р-н, с.Зарванцівул.Одеська, 2</t>
  </si>
  <si>
    <t>ТОВ «ЕКОТЕХ-ЮГ»</t>
  </si>
  <si>
    <t xml:space="preserve"> Херсонська обл., Бериславський р-н, с.Новорайськ, вул.Промислова, б/н</t>
  </si>
  <si>
    <t>ТОВ «РЕСПЕКТ ЕНЕРГО-ПЛЮС»</t>
  </si>
  <si>
    <t>2 черга СЕС «ФЕС СВІТ-1»</t>
  </si>
  <si>
    <t>Закарпатська обл., Мукачівський р-н, с. Жуково, вул. Миру, 1-А</t>
  </si>
  <si>
    <t>ТОВ «ФЕС ВАСИЛІВКА»</t>
  </si>
  <si>
    <t>(СЕС Миколаївська обл., Миколаївський р-н, с. Трихати, вул. Промислова, 3</t>
  </si>
  <si>
    <t>ТОВ «АРБУЗИНКА СОЛАР ПАРК»</t>
  </si>
  <si>
    <t>Миколаївська обл., Арбузинський р-н, селище Кавуни</t>
  </si>
  <si>
    <t>ТОВ «ГРІНПРОДЖЕКТСИСТЕМС»</t>
  </si>
  <si>
    <t>СЕС «Пиляї»</t>
  </si>
  <si>
    <t>Хмельницька обл., Шепетівський р-н, Ленковецька ОТГ, за межами с. Пиляї</t>
  </si>
  <si>
    <t xml:space="preserve">ПП «ЕКО ЮСП» </t>
  </si>
  <si>
    <t>СЕС Вінницька обл., Бершадський р-н, с. Війтівка, вул. Народна, буд. 1</t>
  </si>
  <si>
    <t>ТОВ «КАМ'ЯНКА-СОЛАР»</t>
  </si>
  <si>
    <t>Одеська обл., Ізмаїльський р-н, с/рада Кам'янська</t>
  </si>
  <si>
    <t>ТОВ «САНРАЙ»</t>
  </si>
  <si>
    <t>СЕС «СЕС САНРАЙ»</t>
  </si>
  <si>
    <t>Межиріцька с/р, «Комплекс будівель та споруд
№ 10», буд. № 1</t>
  </si>
  <si>
    <t>ТОВ «СК-МОНОЛИТ»</t>
  </si>
  <si>
    <t>Харківська обл., Харківський р-н, м. Мерефа, вул. Мічуріна</t>
  </si>
  <si>
    <t>ТОВ «СОЛАРПАРК»</t>
  </si>
  <si>
    <t>1 черга СЕС «Богуслав-3»</t>
  </si>
  <si>
    <t>Богуславський</t>
  </si>
  <si>
    <t>вул. Богуславська, 150</t>
  </si>
  <si>
    <t xml:space="preserve">ТОВ «СОНЯЧНА АЛЬТЕРНАТИВА» </t>
  </si>
  <si>
    <t>Івано-Франківська обл., Коломийський р-н, с. Мишин, вул. Грушевського М., буд. 52</t>
  </si>
  <si>
    <t>ТОВ «СОНЯЧНА АЛЬТЕРНАТИВА»</t>
  </si>
  <si>
    <t>Івано-Франківська обл., Коломийський р-н, с. Мишин, вул. Грушевського М., буд. 52А</t>
  </si>
  <si>
    <t>ТОВ «СТАНІСЛАВСЬКИЙ ПРАВНИК»</t>
  </si>
  <si>
    <t xml:space="preserve"> Івано-Франківська обл., Коломийський р-н, с. Велика Кам’янка, урочище «Над Лугом»</t>
  </si>
  <si>
    <t>ТОВ «УЗИН-ЕНЕРГО»</t>
  </si>
  <si>
    <t>Київська обл., Білоцерківський р-н, м. Узин, вул. Московська, 193-а</t>
  </si>
  <si>
    <t>ТОВ «ВІК-ВД»</t>
  </si>
  <si>
    <t>Івано-Франківська обл., Рожнятівський р-н, смт Рожнятів, вул. М. Рильського, буд. 21</t>
  </si>
  <si>
    <t>ТОВ «ГРІН ЕНЕРДЖИ ММХ»</t>
  </si>
  <si>
    <t>СЕС м. Запоріжжя, вул. Слобідська, 49</t>
  </si>
  <si>
    <t>ТОВ «ІНДІАН ІСАТЕКС СОЛАР»</t>
  </si>
  <si>
    <t xml:space="preserve"> Запорізька обл., м. Мелітополь, вул. Дмитра Донцова, 15/6 та 15/7</t>
  </si>
  <si>
    <t>ПАТ «КОНЦЕРН ГАЛНАФТОГАЗ»</t>
  </si>
  <si>
    <t>СЕС Львівська обл., м. Львів, вул. Героїв УПА, 72</t>
  </si>
  <si>
    <t>ТОВ «ПРОЛОГ СОЛАРІНВЕСТ»</t>
  </si>
  <si>
    <t>СЕС Київська обл., Васильківський р-н, смт Глеваха, вул. Вокзальна, 46</t>
  </si>
  <si>
    <t>ТОВ «ЧАПЛИНКА-ІСКРА»</t>
  </si>
  <si>
    <t>с. Чаплинка</t>
  </si>
  <si>
    <t>вул. Шевченка, 38-а</t>
  </si>
  <si>
    <t>ТОВ «АТП-ЕНЕРДЖІ»</t>
  </si>
  <si>
    <t>2 черга СЕС «АТП»</t>
  </si>
  <si>
    <t>м. Івано-Франківськ, с. Микитинці, вул. Юності, 52, 52а</t>
  </si>
  <si>
    <t xml:space="preserve"> Закарпатська обл., Ужгородський р-н, с. Баранинці, вул. Європейська, 1</t>
  </si>
  <si>
    <t>ПП «РУФ ПРОДЖЕКТ»</t>
  </si>
  <si>
    <t>CЕС м. Запоріжжя, вул. Антенна, 8</t>
  </si>
  <si>
    <t>ТОВ «СІЛІКОНФІЛД</t>
  </si>
  <si>
    <t>Івано-Франківська обл., Надвірнянський р-н, с. Лоєва, урочище «Зубкове»)</t>
  </si>
  <si>
    <t>ТОВ «СОЛАР ЗАЛУКВА»</t>
  </si>
  <si>
    <t>(СЕС Івано-Франківська обл., Галицький р-н, с. Залуква, урочище «Сад», урочище «Клітки»)</t>
  </si>
  <si>
    <t>ТОВ «СТРОЙ КЕПІТАЛ ІНВЕСТ ФАРМІНГ»</t>
  </si>
  <si>
    <t>(СЕС Кіровоградська обл., Олександрівський р-н, смт Приютівка, вул. Березівська</t>
  </si>
  <si>
    <t>ТОВ «ТЕРРА СОЛАР»</t>
  </si>
  <si>
    <t>(СЕС Дніпропетровська обл., Петриківський р-н, с/рада, Єлизаветівськ</t>
  </si>
  <si>
    <t>ТОВ «ПРИВАТНІ ЕНЕРГОСИСТЕМИ»</t>
  </si>
  <si>
    <t xml:space="preserve">(СЕС «Хутірське» Дніпропетровська обл., Петриківський р-н, с. Хутірське </t>
  </si>
  <si>
    <t>ТОВ «СОЛАР ЕНЕРДЖІ ЛКК»</t>
  </si>
  <si>
    <t>(СЕС «Букачівці» Івано-Франківська обл., Рогатинський р-н, смт Букачівці, урочище «За стадіоном
біля сирцеху»</t>
  </si>
  <si>
    <t>ТОВ «ПАУПЕР ЕНЕРДЖІ</t>
  </si>
  <si>
    <t>(СЕС Івано-Франківська обл., Коломийський р-н, с. Пилипи, вул. Українська, 131</t>
  </si>
  <si>
    <t>ТОВ «СОЛАР ФЕМІЛІ КСК»</t>
  </si>
  <si>
    <t>(СЕС «Тройка» потужністю 200 кВт Херсонська обл., м. Каховка, провулок Комунальний, 6, 1</t>
  </si>
  <si>
    <t>(СЕС «Тройка» потужністю 319 кВт Херсонська обл., м. Каховка, провулок Комунальний, 6, 1</t>
  </si>
  <si>
    <t>ТОВ «ТЯЧІВ ПРОЕКТ ЕНЕРДЖІ»</t>
  </si>
  <si>
    <t>(СЕС Закарпатська обл., Тячівський р-н, м. Тячів, вул. Польова, 9-а)</t>
  </si>
  <si>
    <t xml:space="preserve">ТОВ «АЛВЕОР-ЕНЕРДЖІ» </t>
  </si>
  <si>
    <t xml:space="preserve"> Снігурівський р-н, м. Снігурівка, вул. Братня, земельна ділянка 2/1</t>
  </si>
  <si>
    <t xml:space="preserve">ТОВ «КАЛИНІВКА-ТЕРРА» </t>
  </si>
  <si>
    <t>Миколаївська обл., Миколаївський р-н, Веснянської сільської ради</t>
  </si>
  <si>
    <t>ТОВ «КОНСАЛТИНГ СОЛАР»</t>
  </si>
  <si>
    <t>СЕС «Мала Виска»</t>
  </si>
  <si>
    <t>Маловисківський р-н, територія Маловисківської міської
ради</t>
  </si>
  <si>
    <t xml:space="preserve">ТОВ «САНВІН 2» </t>
  </si>
  <si>
    <t xml:space="preserve">СЕС «Лелюхівка» </t>
  </si>
  <si>
    <t xml:space="preserve"> Новосанжарський р-н, територія Лелюхівської сільської ради </t>
  </si>
  <si>
    <t>ТОВ «САНВІН 13»</t>
  </si>
  <si>
    <t>СЕС «Ромодан»</t>
  </si>
  <si>
    <t>територія Ромоданівської селищної ради</t>
  </si>
  <si>
    <t>ТОВ «ЧЕРВОНА ГОРА ЕКО»</t>
  </si>
  <si>
    <t xml:space="preserve">СЕС «ФЕС-1» </t>
  </si>
  <si>
    <t xml:space="preserve">Мукачівський р-н, с. Нижній Коропець на території
Нижньокоропецької сільської ради </t>
  </si>
  <si>
    <t xml:space="preserve">СЕС «ФЕС-2» </t>
  </si>
  <si>
    <t>Мукачівський р-н, с. Нижній Коропець на території
Нижньокоропецької сільської ради</t>
  </si>
  <si>
    <t>ТОВ «БОРЗНЯНСЬКИЙ РАЙАГРОХІМ-2018»</t>
  </si>
  <si>
    <t>Харківська обл., Коломацький р-н, с. Шелестове, вул. Зернова, 1-а</t>
  </si>
  <si>
    <t>ТОВ «ДОБРОБУДЕНЕРГО»</t>
  </si>
  <si>
    <t>Тернопільська обл., Зборівський р-н, смт Залізці, вул. Вишнівецька, 20</t>
  </si>
  <si>
    <t>ТОВ «ЕНЕРСАН»</t>
  </si>
  <si>
    <t>Ужгородський р-н, с. Пацканьово, ур. «Брищі-Валькувня» № 1</t>
  </si>
  <si>
    <t>ТОВ «ПВ СОЛАР СТЕЙШН»</t>
  </si>
  <si>
    <t>Дніпропетровська обл., Магдалинівський район, с/рада Жданівська</t>
  </si>
  <si>
    <t>ТОВ «ПРИПРУТТЯ СОЛАР»</t>
  </si>
  <si>
    <t xml:space="preserve"> Новоселицький р-н, с. Припруття, вул. Колгоспна, 33</t>
  </si>
  <si>
    <t>ТОВ «СОЛАР ЕНЕРДЖІ ФІЛД»</t>
  </si>
  <si>
    <t xml:space="preserve"> Верхньодніпровський р-н, с. Мішурин Ріг)</t>
  </si>
  <si>
    <t>ТОВ «СОНЯЧНА ЕНЕРГІЯ</t>
  </si>
  <si>
    <t>Ужгородський р-н, с. Пацканьово, ур. «Брищі-Валькувня» № 2</t>
  </si>
  <si>
    <t>ТОВ «ФЕНІКС ЕНЕРДЖІ»</t>
  </si>
  <si>
    <t>Монастирський р-н, смт Коропець</t>
  </si>
  <si>
    <t>ТОВ «ФРЕНА»</t>
  </si>
  <si>
    <t>Тисменицький р-н, смт Лисець, вул. 1-а Іваниківська)</t>
  </si>
  <si>
    <t>ТОВ «АГРОЛАН-3»</t>
  </si>
  <si>
    <t xml:space="preserve">СЕС «Мшанець» </t>
  </si>
  <si>
    <t>Зборівський р-н, с. Мшанець, вул. Загребля, буд.21</t>
  </si>
  <si>
    <t xml:space="preserve">ТзОВ «АЙПІЄ-Л» </t>
  </si>
  <si>
    <t>СЕС «АЙПІЄ-Л»</t>
  </si>
  <si>
    <t>м. Львів, вул. Щирецька, 36</t>
  </si>
  <si>
    <t>ТОВ «АУРУМ ЕНЕРДЖІ»</t>
  </si>
  <si>
    <t>СЕС «Влашанівка»</t>
  </si>
  <si>
    <t>Ізяславський р-н, с. Влашанівка, вул. Героїв Майдану, буд. 1-а</t>
  </si>
  <si>
    <t>ТОВ «ВІНДМАКС»</t>
  </si>
  <si>
    <t>СЕС «Стриївка»</t>
  </si>
  <si>
    <t>Збаразький р-н, с. Стриївка, вул. Збаразька, буд. 7</t>
  </si>
  <si>
    <t>СФГ «КОЛОСОК»</t>
  </si>
  <si>
    <t>Збаразький р-н, с. Романове Село, вул. Тернопільська, буд. 2)</t>
  </si>
  <si>
    <t>ТОВ «АЛЬТЕРНАТИВНА ЕНЕРГЕТИКА ГАЛИЧИНИ»</t>
  </si>
  <si>
    <t>СЕС «№ 2 Добрівляни»</t>
  </si>
  <si>
    <t>Стрийський р-н, с. Добрівляни, вул.
Довга</t>
  </si>
  <si>
    <t>ТОВ «ДНІПРО ЕНЕРГОІНВЕСТ»</t>
  </si>
  <si>
    <t xml:space="preserve">СЕС «ДНІПРО ЕНЕРГОІНВЕСТ» </t>
  </si>
  <si>
    <t xml:space="preserve"> Новомосковський р-н, Орлівщинська
сільська рада, автомобільна дорога О 041004 Піщанка до а/д М-04, км 2+000</t>
  </si>
  <si>
    <t>Бериславський р-н, с. Новорайськ, вул. Промислова, б/н,
на території ТОВ «Зоотехнологія»</t>
  </si>
  <si>
    <t>ТОВ «ЕНЕРГЕТИЧНІ СИСТЕМИ ДНІПРА»</t>
  </si>
  <si>
    <t>(СЕС Дніпропетровська обл., Криничанський р-н, с/рада Биківська</t>
  </si>
  <si>
    <t xml:space="preserve">ТОВ «САНЛАЙТ НК» </t>
  </si>
  <si>
    <t xml:space="preserve">СЕС «Нова Каховка» </t>
  </si>
  <si>
    <t xml:space="preserve"> м. Нова Каховка, вул. Першотравнева,</t>
  </si>
  <si>
    <t>ТОВ «СОЛАР ГОЛДЕН КІЗ»</t>
  </si>
  <si>
    <t>СЕС «Золоті ключі»</t>
  </si>
  <si>
    <t xml:space="preserve"> Дніпропетровська обл., Дніпровський р-н, смт Слобожанське)</t>
  </si>
  <si>
    <t>ТОВ «ГЕЛІОС ГРУПП «ЧЕРНІЇВ-3»</t>
  </si>
  <si>
    <t xml:space="preserve"> Тисменицький р-н, с. Черніїв, вул. Об'їзна, буд. 11</t>
  </si>
  <si>
    <t xml:space="preserve">ТОВ «ГЕЛІОС ГРУПП «ЧЕРНІЇВ-4» </t>
  </si>
  <si>
    <t>Тисменицький р-н, с. Черніїв, вул. Об'їзна, буд. 13</t>
  </si>
  <si>
    <t xml:space="preserve">ТОВ «ЕКОЕНЕРГОПОСТАЧ» </t>
  </si>
  <si>
    <t>1 черга СЕС Хмельницька обл., Новоушицький р-н, с/рада Вільховецьк</t>
  </si>
  <si>
    <t xml:space="preserve">ТОВ «САНЕНЕР» </t>
  </si>
  <si>
    <t>(СЕС Закарпатська обл., Ужгородський р-н, с. Коритняни, урочище «За радіоцентром» № 2</t>
  </si>
  <si>
    <t xml:space="preserve">ТОВ «СОЛАР ГРАНД» </t>
  </si>
  <si>
    <t>Дніпропетровська обл., Магдалинівський р-н, с/рада Жданівська</t>
  </si>
  <si>
    <t>ТОВ «ТЕХНОПРОМІНЬ»</t>
  </si>
  <si>
    <t>СЕС Закарпатська обл., Ужгородський р-н, с. Коритняни, урочище «За радіоцентром» № 3</t>
  </si>
  <si>
    <t xml:space="preserve">ТОВ «СПІВДРУЖНІСТЬ ЕНЕРГО» </t>
  </si>
  <si>
    <t>СЕС «Співдружність-1» м. Запоріжжя, вул. Донецьке шосе, 2Г</t>
  </si>
  <si>
    <t xml:space="preserve">ТОВ «Е-СЕЙФ СОСУЛІВКА» </t>
  </si>
  <si>
    <t>2 черга СЕС Тернопільська обл., Чортківський р-н, с. Сосулівка, вул. Лесі Українки, 96</t>
  </si>
  <si>
    <t>ТОВ «ЕНЕРГЕТИЧНІ ІННОВАЦІЙНІ СИСТЕМИ»</t>
  </si>
  <si>
    <t>(СЕС «Балта-1» Одеська обл., м. Балта, вул. Рєпіна</t>
  </si>
  <si>
    <t>ТОВ «УКРАЇНСЬКІ ЕНЕРГЕТИЧНІ РІШЕННЯ 2018»</t>
  </si>
  <si>
    <t xml:space="preserve">(СЕС Сумська обл., Білопільський р-н, Куянівська сільська рада </t>
  </si>
  <si>
    <t xml:space="preserve">ТОВ «ФРЕЙ» </t>
  </si>
  <si>
    <t>СЕС Херсонька обл., Білозерський р-н, с. Микільське, вул. Репринська, 2А)</t>
  </si>
  <si>
    <t>ТОВ «ГЕЛІКОН-С»</t>
  </si>
  <si>
    <t>(СЕС «Каланчацька» Херсонська обл., Каланчацький р-н, за межами с. Каїрка в адміністративних межах
Мирненської селищної ради</t>
  </si>
  <si>
    <t>ТОВ «ПРОМІНЬ ЕНЕРГО»</t>
  </si>
  <si>
    <t>(2 черга СЕС Київська обл., м. Бориспіль, вул. Запорізька, 36-а)</t>
  </si>
  <si>
    <t>ТОВ «СОЛАР КВАНТ ЕНЕРДЖИ»</t>
  </si>
  <si>
    <t xml:space="preserve">(СЕС Дніпропетровська обл., Синельниківський р-н, Раївська сільська рада </t>
  </si>
  <si>
    <t>ТОВ «ЕКОТЕХНІК-ТАРАСІВЦІ»</t>
  </si>
  <si>
    <t>(СЕС Чернівецька обл., Новоселицький р-н, с. Тарасівці, урочище «Шипот»</t>
  </si>
  <si>
    <t>ТОВ «ЕНЕРДЖІ СИСТЕМС»</t>
  </si>
  <si>
    <t xml:space="preserve">(СЕС «Могильне» Кіровоградська обл., Гайворонський р-н, територія Могильненської сільської ради </t>
  </si>
  <si>
    <t xml:space="preserve">ТОВ «ПРИМОРСЬКА ЕНЕРГОГЕНЕРУЮЧА КОМПАНІЯ» </t>
  </si>
  <si>
    <t>Одеська область, Саратський район, Михайлівська сільська рада</t>
  </si>
  <si>
    <t>ТОВ «РЕД ИНВЕСТ»</t>
  </si>
  <si>
    <t xml:space="preserve">Татарбунарський р-н, Білоліська сільська рада за межами населеного пункту </t>
  </si>
  <si>
    <t>ТОВ «РЕНДЖИ ТАТАРБУНАРИ»</t>
  </si>
  <si>
    <t xml:space="preserve">СЕС «Ісаєво» Одеська обл., Миколаївський р-н, Ісаївська сільська рада </t>
  </si>
  <si>
    <t>СЕС «Петрівка» Одеська обл., Іванівський р-н, Петрівська селищна рада</t>
  </si>
  <si>
    <t>ТОВ «СОЛАР ЕНЕРДЖИ»</t>
  </si>
  <si>
    <t>СЕС «Миколаївка» Дніпропетровська обл., Дніпровський р-н, на території Миколаївської с/р</t>
  </si>
  <si>
    <t xml:space="preserve">ТОВ «СОЛАР ПАУЕР» </t>
  </si>
  <si>
    <t>СЕС Хмельницька обл., Ярмолинецький р-н, с/рада Михайлівська</t>
  </si>
  <si>
    <t xml:space="preserve">ТОВ «ЕКОБУДЕНЕРГІЯ» </t>
  </si>
  <si>
    <t>СЕС Хмельницька обл., Камянець-Подільський р-н, за межами населеного пункту с. Велика Слобідка)</t>
  </si>
  <si>
    <t>ТОВ «ЖОЛОБИ СОЛАР ЕНЕРДЖІ»</t>
  </si>
  <si>
    <t>(СЕС Вінницька обл., Томашпільський р-н, Жолобянський старостинський округ</t>
  </si>
  <si>
    <t>ТЗОВ «НОВІ ТЕХНОЛОГІЧНІ РІШЕННЯ</t>
  </si>
  <si>
    <t>(СЕС «Ходорів» Львівська обл., Жидачівський р-н, м. Ходоів, вул. О. Вишні,1</t>
  </si>
  <si>
    <t>ТОВ «ПЛУТОН СОЛАР»</t>
  </si>
  <si>
    <t>(СЕС Миколаївька обл., Вознесенський р-н, с/рада Таборівська</t>
  </si>
  <si>
    <t>ПП «ПРОМЕЛЕКТРОМОНТАЖ»</t>
  </si>
  <si>
    <t xml:space="preserve">(СЕС Закарпатська обл., Перечинський р-н, урочище «Забрід», Турицької сільської ради </t>
  </si>
  <si>
    <t xml:space="preserve">ТОВ «СОЛАР ЕНЕРДЖІ МАТЧ» </t>
  </si>
  <si>
    <t>СЕС «СОЛАР ЕНЕРДЖІ МАТЧ» Запорізька обл., Якимівський р-н, територія Якимівської
селищної ради</t>
  </si>
  <si>
    <t xml:space="preserve">ТОВ «ЛИБІДЬ ДЕВЕЛОПМЕНТ» </t>
  </si>
  <si>
    <t>3 черга (CЕС Дніпропетровська обл., Синельниківський р-н, Раївська с/р, біля с. Дубове</t>
  </si>
  <si>
    <t>ТОВ «СЕРВІСТРАНСАВТО»</t>
  </si>
  <si>
    <t>(СЕС Вінницька обл., м. Ладижин, вул. Петра Кравчика, 4)</t>
  </si>
  <si>
    <t>2 черга СЕС м. Київ, вул. Богатирська, 11</t>
  </si>
  <si>
    <t xml:space="preserve">ТОВ «БЕСТ СОЛАР» </t>
  </si>
  <si>
    <t>(СЕС «Новопетрівське» Миколаївська обл., Новоодеський р-н, с. територія Новопетрівської сільської ради)</t>
  </si>
  <si>
    <t>ТОВ «БОЛОХІВСЬКИЙ СОЛАР ПАРК 1»</t>
  </si>
  <si>
    <t>(СЕС «Болохівський Солар Парк 1» Житомирська обл., Любарський р-н, територія
Любарської селищної ради (за межами населеного пунктів), Комплекс будівель та споруд № 12</t>
  </si>
  <si>
    <t>ТОВ «БОЛОХІВСЬКИЙ СОЛАР ПАРК 2»</t>
  </si>
  <si>
    <t>СЕС «Болохівський Солар Парк 2» Житомирська обл., Любарський р-н, територія
Любарської селищної ради (за межами населеного пунктів), Комплекс будівель та споруд № 13</t>
  </si>
  <si>
    <t>ТОВ «ІНГУЛ СОЛАР»</t>
  </si>
  <si>
    <t>(СЕС «Інгуло-Кам'янка» Кіровоградська обл., Новгородківський р-н, Інгуло-Кам'янська сільська рада (за
межами населеного пункту)</t>
  </si>
  <si>
    <t>ТОВ «МИХАЙЛІВСЬКА СЕС»</t>
  </si>
  <si>
    <t>(СЕС СЕС Одеська обл., Саратський р-н, Михайлівська сільська рада, комплекс будівель та споруд №2</t>
  </si>
  <si>
    <t>ТОВ «ПРАЙД-ЕНЕРДЖІ»</t>
  </si>
  <si>
    <t>(СЕС Чернівецька обл., Вижницький р-н, с. Чоногузи, вул. Л. Українки, 21)</t>
  </si>
  <si>
    <t>ТОВ «САНСТАР ЕНЕРДЖИ»</t>
  </si>
  <si>
    <t>(СЕС «Таборівка 2» Територія Таборівської сільської ради (Бузька ОТГ) Вознесенського району
Миколаївської області</t>
  </si>
  <si>
    <t>ТОВ «АСК ЕНЕРДЖІ»</t>
  </si>
  <si>
    <t>(СЕС Херсонська обл., Чаплинський р-н, селище Новий Етап</t>
  </si>
  <si>
    <t xml:space="preserve">ТОВ «ГЕНЕРУЮЧА КОМПАНІЯ «ЕКОЕНЕРГІЯ» </t>
  </si>
  <si>
    <t>(СЕС Дніпропетровська обл., Нікопольський р-н, Червоногригорівська селищна
рада, комплекс будівель та споруд № 1</t>
  </si>
  <si>
    <t xml:space="preserve">ТОВ «ЕНЕРГЕТИЧНА ГРУПА ГЕЛІОС» </t>
  </si>
  <si>
    <t xml:space="preserve">(СЕС «Комишувате-2» Кіровоградська обл., Новоукраїнський р-н, Комишуватська сільська
рада </t>
  </si>
  <si>
    <t>ТОВ «ІНКОМ-ЕНЕРГО»</t>
  </si>
  <si>
    <t>(СЕС Кіровоградська обл., Новоукраїнський р-н, м. Новоукраїнка, вул. Курчатова, земельна ділянка 17-а)</t>
  </si>
  <si>
    <t>ТОВ «КОМПАНІЯ «ЕКОЕНЕРГІЯ»</t>
  </si>
  <si>
    <t>СЕС Дніпропетровська обл., Покровський р-н, територія Маломихайлівської сільської ради</t>
  </si>
  <si>
    <t>ТОВ «ЛАЙФ ЕНЕРДЖІ»</t>
  </si>
  <si>
    <t>(1 черга СЕС Черкаська обл., Канівський р-н, адміністративні межі Литвинецької сільської ради</t>
  </si>
  <si>
    <t>ТОВ «САН ЕНЕРЖИ»</t>
  </si>
  <si>
    <t xml:space="preserve">(СЕС Київська обл., Макарівський р-н, Бишівська сільська рада </t>
  </si>
  <si>
    <t>ТОВ «СЕЛЕНА СОЛАР»</t>
  </si>
  <si>
    <t>(СЕС Івано-Франківська обл., Тисменицький р-н, с. Черніїв, вул. Довбуша, 45-б</t>
  </si>
  <si>
    <t>ТОВ «СОЛАР ГЕЙТ»</t>
  </si>
  <si>
    <t>СЕС «Солар Гейт-350» Закарпатська обл., Берегівський р-н, Великоберезька с/р</t>
  </si>
  <si>
    <t>ТОВ «СОЛАР СИЛОВА ЕЛЕКТРОНІКА»</t>
  </si>
  <si>
    <t>СЕС Одеська обл., Любашівський р-н, с. Ясинове Друге, вул. Молодіжна</t>
  </si>
  <si>
    <t>ТОВ «СОНЯЧНИЙ КРИСТАЛ»</t>
  </si>
  <si>
    <t>(1 черга СЕС Хмельницька обл., Ярмолинецький р-н, смт Ярмолинці, вул. Залізнична</t>
  </si>
  <si>
    <t>ТОВ «ЮКРЕЙНІА СОЛАР ГРУП-ВИНОГРАДОВЕ»</t>
  </si>
  <si>
    <t>(СЕС «Виноградове Солар» Херсонська обл., Олешківський р-н, с. Виноградове,
вул. Польова)</t>
  </si>
  <si>
    <t>ТОВ «ЦУЦИЛІВЕНЕРГОБУД»</t>
  </si>
  <si>
    <t>(СЕС Івано-Франківська обл., Надвірнянський р-н, с. Цуцилів, вул. Братів Бойчуків, 88)</t>
  </si>
  <si>
    <t>ПП «КАСМЕТ»</t>
  </si>
  <si>
    <t>СЕС Одеська обл., Саратський р-н, смт Сарата, вул. Промзона, буд. 3)</t>
  </si>
  <si>
    <t xml:space="preserve">ТОВ «МАРІЇВКА ГРІН ЕНЕРДЖІ» </t>
  </si>
  <si>
    <t>(СЕС Львівська обл., м. Винники, вул. І. Франка, 53-Б))</t>
  </si>
  <si>
    <t>(СЕС Львівська обл., с. Підберізці, вул. Дубовий гай, 47))</t>
  </si>
  <si>
    <t>ТОВ «ТОКМАК СОЛАР ЕНЕРДЖІ»</t>
  </si>
  <si>
    <t>CЕС Запорізька обл., м. Токмак, вул. Гоголя, 201 М</t>
  </si>
  <si>
    <t>ТОВ «ЮКРЕНІА СОЛАР ГРУП-БРИЛІВКА»</t>
  </si>
  <si>
    <t>(2 черга СЕС «Брилівка» Херсонська обл., Олешківський р-н, на території Брилівської с/р</t>
  </si>
  <si>
    <t>(Рівненська обл., Рівненський р-н, с. Нова Любомирка, вул. Промислова, 6)</t>
  </si>
  <si>
    <t>ТОВ «СОЛАР-ФАРМ»</t>
  </si>
  <si>
    <t>СЕС «СОЛАР-ФАРМ 1» будівлі дахів пташників № 5, № 14, Київська обл., Ставищенський р-н, смт
Ставище вул. Вереснева, 1 (Винарівська сільська рада)</t>
  </si>
  <si>
    <t>ТОВ «ФУРСИ ЕНЕРДЖИ ГРУПП»</t>
  </si>
  <si>
    <t>(СЕС «СЕС № 1» Київська обл., Білоцерківський р-н, Фурсівська с/р)</t>
  </si>
  <si>
    <t xml:space="preserve">ТОВ «ФУРСИ ЕНЕРДЖИ ГРУПП» </t>
  </si>
  <si>
    <t>(СЕС «СЕС № 2» Київська обл., Білоцерківський р-н, Фурсівська с/р)</t>
  </si>
  <si>
    <t>СЕС «СЕС № 3» Київська обл., Білоцерківський р-н, Фурсівська с/р)</t>
  </si>
  <si>
    <t>ТОВ «ГЕЛІЯ СОЛАР»</t>
  </si>
  <si>
    <t>(СЕС «Златопільська» Кіровоградська обл., Новомиргородський р-н, м. Новомиргород</t>
  </si>
  <si>
    <t xml:space="preserve">ТОВ «ЗОННЕНЕНЕРГІ» </t>
  </si>
  <si>
    <t>СЕС Сумська обл., Кролевецький р-н, м. Кролевець, вул. Лесі Українки, 160</t>
  </si>
  <si>
    <t>ТОВ «МОНТАЖЕНЕРГО 2018»</t>
  </si>
  <si>
    <t>(СЕС Харківська обл., Вовчанський р-н, с. Бугаївка, вул. Харківська</t>
  </si>
  <si>
    <t xml:space="preserve">ПП «ПРИРОДНІ ЕНЕРГОДЖЕРЕЛА» </t>
  </si>
  <si>
    <t>(1 черга СЕС Закарпатська обл., Ужгородський р-н, на території Тисаашванської сільської
ради, за межами населених пунктів</t>
  </si>
  <si>
    <t xml:space="preserve">ТОВ «СЕМИПОЛКИ-СОЛАР» </t>
  </si>
  <si>
    <t xml:space="preserve">(СЕС Київська область, Броварський район, Семиполківська сільська рада </t>
  </si>
  <si>
    <t xml:space="preserve">ТОВ «ЛІФТОВА КОМПАНІЯ «ЗАХІД» </t>
  </si>
  <si>
    <t>(СЕС Хмельницька обл., Волочиський р-н, м. Волочиськ, вул. Уральських танкістів, буд. 36)</t>
  </si>
  <si>
    <t>ТОВ «БІОЕНЕРГОПРОДУКТ»</t>
  </si>
  <si>
    <t>(СЕС 5 черга 2 пусковий комплекс вітро- та геліоелектростанції Тернопільська обл., Бережанськийр-н,
с. Куряни, вул. Бережанка, 57</t>
  </si>
  <si>
    <t xml:space="preserve">ТОВ «ЕКОТЕХ-ЮГ» </t>
  </si>
  <si>
    <t>(2 черга СЕС Херсонська обл., Бериславський р-н, с. Новорайськ, вул. Промислова, б/н,
на території ТОВ «Зоотехнологія» (на будівлях літери О та О1))</t>
  </si>
  <si>
    <t>ТОВ «МАРІЇВКА ГРІН ЕНЕРДЖІ»</t>
  </si>
  <si>
    <t>(СЕС Львівська обл., м. Винники, вул. Б. Хмельницького, 9)
• Встановлена потужність</t>
  </si>
  <si>
    <t>ТОВ «ЕКО СОЛАР СТЕЙШН»</t>
  </si>
  <si>
    <t>(СЕС Вінницька обл., Томашпільський р-н, Вапнярська селищна рада,</t>
  </si>
  <si>
    <t>ТОВ «САН ВІЛЕДЖ»</t>
  </si>
  <si>
    <t>СЕС «Павлівка-2» Вінницька обл., Калинівськийр-н, Павлівська сільська рада, с. Павлівка</t>
  </si>
  <si>
    <t>ТОВ «САНВІН 17»</t>
  </si>
  <si>
    <t>СЕС «Павлівка-1» Вінницька обл., Калинівський р-н, Павлівська сільська рада, с. Павлівка</t>
  </si>
  <si>
    <t>ТОВ «АЛЬТЕРНАТИВНІ СИСТЕМИ»</t>
  </si>
  <si>
    <t>1 черга СЕС Черкаська обл., Черкаський р-н, на території Білозірської сільської ради</t>
  </si>
  <si>
    <t>ТОВ «ЕКОПРОМЕНЕРГІЯ»</t>
  </si>
  <si>
    <t>СЕС Дніпропетровська обл., м. Вільногірськ, вул. Промислова, буд. 31/2</t>
  </si>
  <si>
    <t>ТОВ «ЕКОТЕХНІК ШИРОКЕ»</t>
  </si>
  <si>
    <t>(СЕС Дніпропетровська обл., Широківський р-н, с/рада Шестірнянська</t>
  </si>
  <si>
    <t>ТОВ «КОТОВСЬКИЙ АСФАЛЬТОБЕТОННИЙ ЗАВОД»</t>
  </si>
  <si>
    <t>(СЕС «Подільська» Одеська обл., м. Подільськ, вул. Соборна, 281</t>
  </si>
  <si>
    <t>ТОВ «САНАЛЬ»</t>
  </si>
  <si>
    <t xml:space="preserve">(СЕС Миколаївська обл., Березнегуватський р-н, с/рада Новоукраїнська </t>
  </si>
  <si>
    <t>ТОВ «САН-ОР»</t>
  </si>
  <si>
    <t xml:space="preserve">СЕС Миколаївська обл., Березнегуватський р-н, с/рада Новоукраїнська </t>
  </si>
  <si>
    <t>ТОВ «СОЛАР ЕКО ЕНЕРДЖІ»</t>
  </si>
  <si>
    <t>(СЕС Вінницька обл., Тиврівський р-н, с. Красне, вул. Д. Нечая, буд. 9-а)</t>
  </si>
  <si>
    <t>ТОВ «СОЛАР ЕНЕРГОІНВЕСТ»</t>
  </si>
  <si>
    <t>(СЕС Херсонська обл., Олешківський р-н, м. Олешки, вул. Гвардійська, 103)</t>
  </si>
  <si>
    <t>ТОВ «СОЛАР ЕНЕРДЖИ УКРАЇНА»</t>
  </si>
  <si>
    <t xml:space="preserve"> (СЕС «Милування» Івано-Франківська обл., Тисменицький р-н., с. Милування, урочище «Ласки»
к</t>
  </si>
  <si>
    <t>ТОВ «СТАНЦІЯ ВОДЯНЕ 1»</t>
  </si>
  <si>
    <t xml:space="preserve">(СЕС Дніпропетровська область, Синельниківський район, Раївська сільська рада </t>
  </si>
  <si>
    <t xml:space="preserve">ПП «ТЕХСЕРВІС» </t>
  </si>
  <si>
    <t>(СЕС Запорізька обл., Запорізький р-н, Розумівська сільська рада, містечко «Зоряне» № 73</t>
  </si>
  <si>
    <t xml:space="preserve">ТОВ «ТОРІ СОЛАР» </t>
  </si>
  <si>
    <t>СЕС Львівська обл., м. Самбір, вул. Середня, буд. 295-а/23, 295-а/24, 295-а/25, 295-а/26, 295-а/27, 295-а/28, 295-а/29</t>
  </si>
  <si>
    <t>ТОВ «УМАНЬ ІНДІАН СОЛАР»</t>
  </si>
  <si>
    <t>СЕС Черкаська обл., м. Умань, вул. Дерев’янка 2-ж</t>
  </si>
  <si>
    <t>СЕС Черкаська обл., м. Умань, вул. Дерев’янка 6</t>
  </si>
  <si>
    <t xml:space="preserve">ТОВ «МАК ЕНЕРДЖІ» </t>
  </si>
  <si>
    <t>(СЕС Закарпатська обл., Виноградівський р-н, смт Вилок, вул. Радгоспна, 1</t>
  </si>
  <si>
    <t>ТОВ «СОНЯЧНІ ФЕРМЕРИ»</t>
  </si>
  <si>
    <t>СЕС «Сонячні фермери» Вінницька обл.,Вінницький р-н, с. Мізяківські Хутори, вул. Кармелюка, буд. 72
б, буд. 72 в, буд. 72 г, буд. 72 д, буд. 72 ж</t>
  </si>
  <si>
    <t xml:space="preserve">ТОВ «ГЕНЕРАЦІЯ ПЛЮС» </t>
  </si>
  <si>
    <t>(2 черга СЕС Вінницька обл., Ямпільський р-н, с/рада Дзигівська)</t>
  </si>
  <si>
    <t>ТОВ «ЕКО-ФОТУРЕ «СТАРА УШИЦЯ»</t>
  </si>
  <si>
    <t xml:space="preserve">(СЕС «СЕС 2» Хмельницька обл., Кам'янець-Подільський р-н, смт Стара Ушиця на
території Староушицької селищної ради </t>
  </si>
  <si>
    <t xml:space="preserve">ТОВ «ЕНЕЙ СОЛАР» </t>
  </si>
  <si>
    <t>СЕС Івано-Франківська обл. Тисменицький р-н, с. Черніїв, вул. Довбуша, № 45-в</t>
  </si>
  <si>
    <t xml:space="preserve">ТОВ «РЕНДЖИ ЗАПОРІЖЖЯ» </t>
  </si>
  <si>
    <t>2 черга СЕС «Степногірськ») Запорізька обл., Василівський р-н, Проммайданчик шахти, № 27</t>
  </si>
  <si>
    <t xml:space="preserve">ТОВ «СОЛАР ЕКО ПАРК» </t>
  </si>
  <si>
    <t>СЕС «СЕС-3» Дніпропетровська обл., Дніпровський р-н, с/рада Новоолександрівська та с/рада Волоська</t>
  </si>
  <si>
    <t>ТОВ «СОЛАРЕНЕРГО»</t>
  </si>
  <si>
    <t>(3 черга СЕС Херсонська обл., Скадавський р-н, Лазурненська селищна рада)</t>
  </si>
  <si>
    <t xml:space="preserve">ТОВ «ТОКМАК СОЛАР ЕНЕРДЖІ» </t>
  </si>
  <si>
    <t>ТОВ «ГЕА СОЛАР ГРУП»</t>
  </si>
  <si>
    <t xml:space="preserve">СЕС Дніпропетровська обл., Широківський р-н, Новомалинівська с/р </t>
  </si>
  <si>
    <t>ТОВ «ГЛИНЯНИ ЕНЕРДЖІ»</t>
  </si>
  <si>
    <t>(СЕС «Глиняни-2» Львівська обл., Злочівський р-н, м. Глиняни, вул. Львівська 91</t>
  </si>
  <si>
    <t>ТОВ «ГРІНВЕЙ СОЛАР ГРУП»</t>
  </si>
  <si>
    <t>(СЕС Дніпропетровська обл., Широківський р-н, територія Гречаноподівської с/р (за межами
населених пунктів</t>
  </si>
  <si>
    <t xml:space="preserve">ТОВ «НІКОПОЛЬ-ЕЛІОС» </t>
  </si>
  <si>
    <t>СЕС Дніпропетровська обл., Нікопольський р-н, територія Приміської с/р</t>
  </si>
  <si>
    <t>ТОВ «САНВІН 5»</t>
  </si>
  <si>
    <t>СЕС «Морозівка» Кіровоградська обл., Олександрійський р-н, Новоселівська с/р</t>
  </si>
  <si>
    <t>ТОВ «САНВІН 28»</t>
  </si>
  <si>
    <t>СЕС «Мена» Чернігівська обл., Менський р-н, територія Менської с/р</t>
  </si>
  <si>
    <t>ТОВ «САН СІТІ ПЛЮС»</t>
  </si>
  <si>
    <t>СЕС Миколаївська обл., Березнегуватський р-н, смт Березнегувате, Березнегуватська селищна рада</t>
  </si>
  <si>
    <t>ТОВ «СІТІ СОЛАР»</t>
  </si>
  <si>
    <t>СЕС «Єланець» Миколаївська обл., Єланецький р-н, смт Єланець, вул. Квітнева, 101</t>
  </si>
  <si>
    <t xml:space="preserve">ТОВ «СІТІ СОЛАР» </t>
  </si>
  <si>
    <t>(СЕС «Єланець 2» Миколаївська обл., Єланецький р-н, територія Ясногородської сільської ради (за межами
населених пунктів), комплекс будівель і споруд N 19</t>
  </si>
  <si>
    <t>ТОВ «СОЛАР ПАРК МАР'ЯНСЬКЕ»</t>
  </si>
  <si>
    <t>1 черга СЕС «Солар Парк Мар'янське» Дніпропетровська обл., Апостолівський р-н, с.Мар'янське)</t>
  </si>
  <si>
    <t>ТОВ «ТЕРСЛАВ»</t>
  </si>
  <si>
    <t>(СЕСДніпропетровська обл., Дніпровський р-н, сщ/р Обухівська</t>
  </si>
  <si>
    <t>ТОВ «АРГУС-УКРАЇНА»</t>
  </si>
  <si>
    <t>(СЕС «Кінашів» Івано-Франківська обл., Галицький р-н, с. Кінашів, вул. Вербова, 1б</t>
  </si>
  <si>
    <t xml:space="preserve">ТОВ «ЕНЕРДЖІ-САН» </t>
  </si>
  <si>
    <t>(СЕС «СЕС Ріпинці» Хмельницька обл., Кам’янець – Подільський р-н, с/р Орининська</t>
  </si>
  <si>
    <t>ТОВ «ГЕЛІОС ГРУПП «ХРИПЛИН-5»</t>
  </si>
  <si>
    <t>СЕС Івано-Франківська обл., м. Івано-Франківська, с. Хриплин, урочище «Малі лази»</t>
  </si>
  <si>
    <t>ТОВ «ЕКОСОНЦЕ-1»</t>
  </si>
  <si>
    <t>СЕС Хмельницька обл., Чемеровецький р-н, с. П'ятничани (за межами населеного пункту)</t>
  </si>
  <si>
    <t>ТОВ «ЗАХІДНА ЕНЕРГЕТИЧНА ГРУПА»</t>
  </si>
  <si>
    <t xml:space="preserve">(1 черга СЕС «Пилипо-Хребтіївська СЕС» Хмельницька обл., Новоушицький р-н, ПилипоХребтіївська с/р </t>
  </si>
  <si>
    <t xml:space="preserve">ТОВ «С. А. ЕНЕРДЖІ» </t>
  </si>
  <si>
    <t>СЕС «Долинська» Кіровоградська обл., Долинський р-н, смт Молодіжне, вул. Будівельників, буд. 3</t>
  </si>
  <si>
    <t>ТОВ «САНВЕЙ СТ»</t>
  </si>
  <si>
    <t>СЕС Черкаська обл., Христинівський р-н, с/рада Сичівська</t>
  </si>
  <si>
    <t xml:space="preserve">ТОВ «САНМАРІ» </t>
  </si>
  <si>
    <t>(СЕС Миколаївська обл., Березнегуватський р-н, с/рада Новоукраїнська</t>
  </si>
  <si>
    <t>ТОВ «СМАРТ СОЛЮШИОН»</t>
  </si>
  <si>
    <t>СЕС «Великі Береги» Закарпатська обл., Берегівський р-н, с. Великі Береги, вул. Петефі, 38-Г, та 38-Е</t>
  </si>
  <si>
    <t xml:space="preserve">ТОВ «СОЛАР БЛЕСТ» </t>
  </si>
  <si>
    <t>(2 черга СЕС «Веряця-1» Закарпатська обл., Виноградівський р-н, с. Горбки, вул. Садова 14Б</t>
  </si>
  <si>
    <t>ТОВ «СОЛАР БЛЕСТ»</t>
  </si>
  <si>
    <t>2 черга «СЕС Веряця-2» Закарпатська обл., Виноградівський р-н, с. Горбки, вул. Садова 14В)</t>
  </si>
  <si>
    <t>ТОВ «СОЛІС ІМПЕРІУМ»</t>
  </si>
  <si>
    <t>(СЕС Запорізька обл., Якимівський р-н, смт Якимівка, вул. Б. Хмельницького, 58-Б)</t>
  </si>
  <si>
    <t>ТОВ «ТЕР САН ЕНЕРДЖІ»</t>
  </si>
  <si>
    <t>(СЕС Тернопільська обл., Збаразький р-н, Романовоселівська с-р</t>
  </si>
  <si>
    <t>ТОВ «ГРІНХАУС»</t>
  </si>
  <si>
    <t>СЕС Хмельницька обл., Хмельницький р-н, с. Стуфчиці, вул. Шевченка, 4/4, 4/</t>
  </si>
  <si>
    <t>ТОВ «ЕТЛ СОЛАР РУФ»</t>
  </si>
  <si>
    <t>СЕС Дніпропетровська обл., м. Дніпро, вул. Будівельників, буд. 25</t>
  </si>
  <si>
    <t>ТОВ «КОМПАНІЯ-МЕРКУРІЙ»</t>
  </si>
  <si>
    <t>СЕС Хмельницька обл., м. Хмельницький, вул. Чорновола, 31)</t>
  </si>
  <si>
    <t xml:space="preserve">ТОВ «КОРПОРАЦІЯ «ЗІКО» </t>
  </si>
  <si>
    <t>(СЕС Івано-Франківська обл., м. Івано-Франківськ, вул. Левинського, 10а</t>
  </si>
  <si>
    <t>ТОВ «НЕТТОТЕРМІНАЛ»</t>
  </si>
  <si>
    <t>СЕС Тернопільська обл., Тернопільський р-н, м. Тернопіль, вул. Бродівська, буд. 44</t>
  </si>
  <si>
    <t>ТОВ «ПОЛТАВСЬКА ГЕНЕРУЮЧА КОМПАНІЯ ДОБРОБУТ</t>
  </si>
  <si>
    <t>(СЕС Полтавська обл., м. Полтава, вул. Заводська, 21)</t>
  </si>
  <si>
    <t>ТОВ «ЧИСТА ЕНЕРГІЯ»</t>
  </si>
  <si>
    <t>(СЕС Черкаська обл., Кам’янський р-н, м. Кам’янка, вул. Заводська, буд. 2б)</t>
  </si>
  <si>
    <t>ТОВ «ГІДРОКАСКАД»</t>
  </si>
  <si>
    <t>СЕС «Жмеринка» Вінницька обл., Жмеринський р-н, територія Леляцької сільської ради)</t>
  </si>
  <si>
    <t xml:space="preserve">ТОВ «ГРІН ЕНЕРДЖІ ІНВЕСТ» </t>
  </si>
  <si>
    <t>СЕС «Меблева 2» Івано-Франківська обл., м. Івано-Франківськ, вулиця Левинського І., будинок 1</t>
  </si>
  <si>
    <t>ТОВ «ЗАКАРПАТ ЕНЕРГО РЕСУРС»</t>
  </si>
  <si>
    <t>СЕС Закарпатська обл., м. Мукачево, вул. Кооперативна, 4-а)</t>
  </si>
  <si>
    <t xml:space="preserve">ТОВ «КУЗЬМИН ЕНЕРДЖІ» </t>
  </si>
  <si>
    <t>СЕС Хмельницька обл., Городоцький р-н, с/р Кузьминська, Комплекс будівель та споруд № 1, буд. 1-А</t>
  </si>
  <si>
    <t>ТОВ «СТУДЕНИКІВСЬКА ФЕС»</t>
  </si>
  <si>
    <t>3 черга «Студениківська ФЕС» Київська обл., Переяслав-Хмельницький р-н, с. Студеники, вул.
Студениківська, 5</t>
  </si>
  <si>
    <t xml:space="preserve">ТОВ «АРЦИЗ-СОЛАР» </t>
  </si>
  <si>
    <t>СЕС Одеська обл., Арцизький р-н, територія Павлівської с/</t>
  </si>
  <si>
    <t>ТОВ «ГУДЗОВКА-СОЛАР-1»</t>
  </si>
  <si>
    <t>СЕС Одеська обл., м. Ізмаїл, вул. Семена Чернова, 153</t>
  </si>
  <si>
    <t>ТОВ «ГУДЗОВКА-СОЛАР-2»</t>
  </si>
  <si>
    <t>(СЕС Одеська обл., м. Ізмаїл, вул. Семена Чернова, 151)</t>
  </si>
  <si>
    <t>ТОВ «ІНГУЛЕЦЬ ЕНЕРГО-2»</t>
  </si>
  <si>
    <t>1 черга СЕС «Інгулець» Миколаївська обл., Снігурівський р-н, територія Афанасіївської с/р)</t>
  </si>
  <si>
    <t xml:space="preserve">ТОВ «ІНГУЛЕЦЬ ЕНЕРГО-2» </t>
  </si>
  <si>
    <t>2 черга СЕС «Інгулець» Миколаївська обл., Снігурівський р-н, територія Афанасіївської с/р)</t>
  </si>
  <si>
    <t>ТОВ «МАЛИН ЕНЕРДЖИ»</t>
  </si>
  <si>
    <t>(СЕС Житомирська обл., Малинський р-н, с. Слобідка, вул. Сонячна, 1)</t>
  </si>
  <si>
    <t>ТОВ «ЕНЕРДЖИ ЦЕНТР»</t>
  </si>
  <si>
    <t>СЕС «Василівка-3» Херсонська обл., Каховський р-н, територія Василівської с/р</t>
  </si>
  <si>
    <t xml:space="preserve">ТОВ «ЛІТКИ-СОЛАР» </t>
  </si>
  <si>
    <t>СЕС Житомирська обл., Лугинський р-н, с. Літки, вул. Лісова, 3-а)</t>
  </si>
  <si>
    <t>ТОВ «МАКСІ СОЛАР»</t>
  </si>
  <si>
    <t>СЕС «УМІТЛІ-2» Дніпропетровська обл., Магдалинівський р-н,
с/р Новопетрівська</t>
  </si>
  <si>
    <t>ТОВ «САНРЕСУРС»</t>
  </si>
  <si>
    <t>1 черга СЕС Закарпатська обл., Виноградівський р-н, с. Веряця, урочище «Мочар» та урочище «Спуровий
Сад»</t>
  </si>
  <si>
    <t>ТОВ «ЦИФРОВІ РІШЕННЯ 3000»</t>
  </si>
  <si>
    <t>(СЕС «Сядрино» Чернігівська обл., Крюківський р-н, с. Сядрине, вул. Заводська, 1</t>
  </si>
  <si>
    <t>(2 черга СЕС «ІРШАНСЬКА СЕС» Житомирська обл., Коростенський р-н, Меленівська сільська рада)</t>
  </si>
  <si>
    <t>СЕС Львівська обл., м. Червоноград, вул. Коперніка, 1, 1Б</t>
  </si>
  <si>
    <t>СЕС «Тройка» (потужність 181 кВт) Херсонська обл., м. Каховка, вул. Південна, буд. 2</t>
  </si>
  <si>
    <t xml:space="preserve">ТОВ «СОЛАР ФЕМІЛІ КСК» </t>
  </si>
  <si>
    <t>СЕС «Карабелівка № 1» Вінницька обл., Теплицький р-н, с. Карабелівка, вул. Гагаріна, буд. 58б, буд. 58в)</t>
  </si>
  <si>
    <t>ТОВ «ТІУ-ЗЕЛЕНИЙ ГАЙ»</t>
  </si>
  <si>
    <t>СЕС Миколаївська обл., Вознесенський р-н, Бузька с/р</t>
  </si>
  <si>
    <t xml:space="preserve">ТОВ «ГЕПАРД КАРПАТ» </t>
  </si>
  <si>
    <t xml:space="preserve">(СЕС Закарпатська обл., Тячівський р-н, с. Чумальово, ур. «Буковинки» </t>
  </si>
  <si>
    <t>ТОВ «ГЕПАРД КАРПАТ+»</t>
  </si>
  <si>
    <t>(СЕС Закарпатська обл., Тячівський р-н, с. Чумальово, ур. «Буковинки»</t>
  </si>
  <si>
    <t>ТОВ «ДОБРОБУД ІНВЕСТ</t>
  </si>
  <si>
    <t>(СЕС «Добробуд Енерджі» Київська обл., Богуславський р-н, м. Богуслав, вул. Будівельна, 270</t>
  </si>
  <si>
    <t xml:space="preserve">ТОВ «ЕДВАНС СОЛАР» </t>
  </si>
  <si>
    <t xml:space="preserve">(1 черга СЕС Миколаївська обл., Арбузинський р-н, Арбузинська селищна рада, </t>
  </si>
  <si>
    <t>ВК «КОНСАЛТ ІНВЕСТ КОМПАНІЯ ЕНЕРДЖІ»</t>
  </si>
  <si>
    <t>СЕС Дніпропетровська обл., Криничанський р-н, с. Чернече, вул. Фруктова</t>
  </si>
  <si>
    <t xml:space="preserve">ТОВ «ЛИЧІВКА СОЛАР» </t>
  </si>
  <si>
    <t>СЕС «Личівка Солар» Хмельницька обл., Волочиський р-н, с. Личівка, вул. Степова, 9</t>
  </si>
  <si>
    <t xml:space="preserve">ТОВ «МОНАСТИРИСЬКЕНЕРГОБУД» </t>
  </si>
  <si>
    <t>СЕС Тернопільська обл., Монастириський р-н, м. Монастириська, вул. Галицька</t>
  </si>
  <si>
    <t>ТОВ «ОЕНЖІ ЕНЕРДЖІ»</t>
  </si>
  <si>
    <t>СЕС Одеська обл., Лиманський р-н, Визирська с/р, с. Визирка</t>
  </si>
  <si>
    <t>ТОВ «СОЛАР КУБ»</t>
  </si>
  <si>
    <t>СЕС «Карабелівка № 2» Вінницька обл., Теплицький р-н, с. Карабелівка, вул. Гагаріна, 83а</t>
  </si>
  <si>
    <t>ТОВ «ФЕС СТРАБИЧОВО 1»</t>
  </si>
  <si>
    <t>СЕС «СЕС Страбичово 1» Закарпатська обл., Мукачівський р-н, с. Великі Лучки</t>
  </si>
  <si>
    <t xml:space="preserve">ПП «АББА» </t>
  </si>
  <si>
    <t>(СЕС Запорізька обл., м. Бердянськ, вул. Малигіна, буд. 6, навіси «О1», «О2», «О3», «О4»)</t>
  </si>
  <si>
    <t>ПП «БІЗНЕС-ЕНЕРГІЯ»</t>
  </si>
  <si>
    <t>(СЕС Київська обл., м. Біла Церква, провул. Будівельників, 1)</t>
  </si>
  <si>
    <t>ТОВ «ЕКОВОЛЬТ</t>
  </si>
  <si>
    <t>СЕС Київська обл., Києво-Святошинський р-н, с. Софіївська Борщагівка, вул. Київська, буд. 36</t>
  </si>
  <si>
    <t>ПП «ІНКОПМАРК-ПЛЮС»</t>
  </si>
  <si>
    <t>СЕС «Колос» Кіровоградська обл., Знам’янський р-н, Дмитрівська сільська рада автодорога Т-12-11,
Знам’янка-Подорожне, 0 км + 550 м будівля № 1</t>
  </si>
  <si>
    <t xml:space="preserve">ТОВ «КОМПАНІЯ «АПОЛЛОН» </t>
  </si>
  <si>
    <t>СЕС Миколаївська обл., м. Миколаїв, вул. Поздовжня дванадцята, буд. 63/9, 63/15</t>
  </si>
  <si>
    <t>ФОП МАМОНТОВ АНДРІЙ ЮРІЙОВИЧ</t>
  </si>
  <si>
    <t>(СЕС Запорізька обл., м. Мелітополь, вул. 8 Березня, буд. 43/3</t>
  </si>
  <si>
    <t xml:space="preserve">ТЗОВ «СКОНТО ЕНЕРДЖІ» </t>
  </si>
  <si>
    <t>СЕС Львівська обл., Пустомитівський р-н, с. Лисиничі, вул. Тракт-Глинянський, 8</t>
  </si>
  <si>
    <t>ТОВ «СОЛАР БІ ЕС ДЖІ»</t>
  </si>
  <si>
    <t>СЕС Дніпропетровська обл., м. Павлоград, вул. Шевченка, 128</t>
  </si>
  <si>
    <t>(СЕС Дніпропетровська обл., м. Дніпро, вул. Автопаркова, 7</t>
  </si>
  <si>
    <t>ЕК «ТАНЕР ПВ»</t>
  </si>
  <si>
    <t>(СЕС Вінницька обл., м. Вінниця, вул. Енергетична, 5-К)</t>
  </si>
  <si>
    <t xml:space="preserve">ТЗОВ «ФІРМА «ХІМПЛАСТ» </t>
  </si>
  <si>
    <t>СЕС Івано-Франківська обл., м. Рогатин, вул. Галицька, буд. 104а)</t>
  </si>
  <si>
    <t>ТОВ «СОЛАР ПАРК МАР'ЯНСЬКЕ</t>
  </si>
  <si>
    <t>(2 черга СЕС «Солар Парк Мар'янське» Дніпропетровська обл., Апостолівський р-н, с.
Мар'янське)</t>
  </si>
  <si>
    <t xml:space="preserve">ТОВ «АКВАНОВА ДЕВЕЛОПМЕНТ» </t>
  </si>
  <si>
    <t>СЕС «Шаланки-3» Закарпатська обл., Виноградівський р-н, с. Шаланки, контур №363)</t>
  </si>
  <si>
    <t xml:space="preserve">ТОВ «ІМПЕРІАЛ ЕНЕРГО» </t>
  </si>
  <si>
    <t>2 черга СЕС Вінницька обл, Могилів-Подільський р-н, с. Козлів, вул. Тропініна, 27а/1</t>
  </si>
  <si>
    <t xml:space="preserve">ТОВ «СОЛАР ПАРК МАР'ЯНСЬКЕ» </t>
  </si>
  <si>
    <t xml:space="preserve">СЕС «Солар Парк Мар'янське-2» Дніпропетровська обл., Апостолівський р-н, </t>
  </si>
  <si>
    <t xml:space="preserve">ТОВ «МОНТАЖЕНЕРГО 2018» </t>
  </si>
  <si>
    <t>(СЕС Харківська обл, Вовчанський р-н, с. Бугаївка, вул. Харківська</t>
  </si>
  <si>
    <t>ТЗОВ «ЕНЕРГОЮНІТ»</t>
  </si>
  <si>
    <t>СЕС Закарпатська обл., Виноградівський р-н, с. Шаланки, контур № 347</t>
  </si>
  <si>
    <t>ТОВ «ЕЛІТ-ПЛЮС М»</t>
  </si>
  <si>
    <t>(СЕС «ПАВШИНО СОЛАР» Закарпатська обл., Мукачівський р-н, с. Павшино</t>
  </si>
  <si>
    <t>ПП «КІРОВОГРАДБУДРЕСУРС»</t>
  </si>
  <si>
    <t>СЕС Кіровоградська обл., м. Кропивницький</t>
  </si>
  <si>
    <t>ТОВ «СОЛАР ЕНЕРЖІ-МИРІВ»</t>
  </si>
  <si>
    <t>(СЕС Вінницька обл., Немирівський р-н, с. Новоселівка, вул. Гагаріна, 38</t>
  </si>
  <si>
    <t>ТОВ «АГРОКОМТРЕЙД-АЛЬЯНС»</t>
  </si>
  <si>
    <t>(СЕС «ІНКАМ-ЕНЕРЖІ» Кіровоградська обл., м. Кропивницький, вул. Руслана Слободянюка, буд.
213-в</t>
  </si>
  <si>
    <t>ТОВ «Е-СЕЙФ ІНВЕСТ»</t>
  </si>
  <si>
    <t>(СЕС Тернопільська обл., м. Бережани, вул. Братів Лепких, 42, 42А, 42б, 42в, 42Г, 42д, 42е, 42з</t>
  </si>
  <si>
    <t>ТОВ «КДМ СОЛАР»</t>
  </si>
  <si>
    <t>(СЕС «КДМ СОЛАР» Кіровоградська обл., м. Кропивницький, проспект Промисловий, 13 А</t>
  </si>
  <si>
    <t xml:space="preserve">ТОВ «САНБІМ ЛТД» </t>
  </si>
  <si>
    <t>СЕС Харківська обл., Чугуївський р-н, м. Чугуїв, вул. Мічуріна, буд. 4-а)</t>
  </si>
  <si>
    <t xml:space="preserve">ТОВ «СОЛАР ЕНЕРДЖІ ЛТД» </t>
  </si>
  <si>
    <t>(СЕС Харківська обл., Чугуївський р-н, м. Чугуїв, вул. Мічуріна, буд. 4-а</t>
  </si>
  <si>
    <t>(СЕС «Василівка» Херсонська обл., Каховський р-н, с. Василівка, вул. Східна, 2 А</t>
  </si>
  <si>
    <t>(СЕС «Василівка-2» Херсонська обл., Каховський р-н, с. Софіївка, вул. Шевченка, 3 Б)</t>
  </si>
  <si>
    <t>ТЗОВ «СИНТЕЗ СОЛАР»</t>
  </si>
  <si>
    <t>(СЕС «СЕС Довбиш») Житомирська обл.. Баранівський р-н, територія Довбиської с/р, за межами
населеного пункту</t>
  </si>
  <si>
    <t>ТОВ «ЕКО-АЛЬТЕП»</t>
  </si>
  <si>
    <t>(Дніпропетровська обл., Солонянський р-н, смт Солоне, вул. Бєльченко братів, 2-А</t>
  </si>
  <si>
    <t>(СЕС «Респект Енерго-Плюс» Закарпатська обл., Мукачівський р-н, с. Череївці</t>
  </si>
  <si>
    <t>ТОВ «ТАРУТИНЕ СОЛАР 4»</t>
  </si>
  <si>
    <t>(3 черга СЕС «Ярове» Одеська обл., Тарутинський р-н, с. Ярове</t>
  </si>
  <si>
    <t>(2 черга СЕС Київська обл., Білоцерківський р-н, м. Узин, вул. Московська, 193-а)</t>
  </si>
  <si>
    <t>ТОВ «РАССВЕТ»</t>
  </si>
  <si>
    <t>(СЕС «Рассвет-2» Кіровоградська обл., Новоукраїнський р-н, с. Приют, вул. Маршала Конєва, буд. 10б</t>
  </si>
  <si>
    <t>ТОВ «БІО ІНВЕСТ ГРУПП-1»</t>
  </si>
  <si>
    <t xml:space="preserve">СЕС Черкаська обл., Золотоніський р-н, на землях Бубновсько-Слобідської с/р </t>
  </si>
  <si>
    <t>ТОВ «ЕКО ЕНЕРДЖИ ПРО»</t>
  </si>
  <si>
    <t>СЕС «Теплична» Миколаївська обл., м. Миколаїв, вул. Самойловича, 46</t>
  </si>
  <si>
    <t xml:space="preserve">ТОВ «ЕКОТЕХНІК РОЖНЯТІВ» </t>
  </si>
  <si>
    <t xml:space="preserve">СЕС Івано-Франківська обл., Рожнятівський р-н, с. Дуба </t>
  </si>
  <si>
    <t>ТОВ «ЗЕЛЕНА ЕНЕРГІЯ ЧЕРКАЩИНИ»</t>
  </si>
  <si>
    <t>(СЕС «Гельмязівська» Черкаська обл., Золотонівський р-н, с. Гельмязів, вул. Корольова,
119А</t>
  </si>
  <si>
    <t xml:space="preserve">ТОВ «КВАТТРО ЕНЕРДЖІ» </t>
  </si>
  <si>
    <t>(СЕС Черкаська обл., Смілянський р-н, с. Балаклея, вул. Шевченка, 217в)</t>
  </si>
  <si>
    <t>ТОВ «ЛАЙТДЕЙ»</t>
  </si>
  <si>
    <t>(СЕС Львівська обл., Жидачівський р-н, смт Гніздичів, вул. Я. Мудрого, 10)</t>
  </si>
  <si>
    <t>ТОВ НВК «СОНЯЧНА ЕНЕРГЕТИКА»</t>
  </si>
  <si>
    <t>(СЕС Черкаська обл., м. Канів, вул. Енергетиків, буд. 179)</t>
  </si>
  <si>
    <t>ТОВ «СФЕРА ЕНЕРДЖІ»</t>
  </si>
  <si>
    <t>(СЕС Вінницька обл., Калинівський р-н, м. Калинівка, вул. І. Мазепи, 47-А)</t>
  </si>
  <si>
    <t xml:space="preserve">ТОВ «ЗАХІДНО-УКРАЇНСЬКЕ ІННОВАЦІЙНЕ АГЕНТСТВО» </t>
  </si>
  <si>
    <t>(СЕС Івано-Франківська обл., Тисменицький р-н, с. Угринів, вул.
Помаранчева, буд. 31)</t>
  </si>
  <si>
    <t>ТОВ «СК ІМПОРТ»</t>
  </si>
  <si>
    <t>(СЕС м. Вінниця, вул. Гонти, 56-А, 56-Б</t>
  </si>
  <si>
    <t>(СЕС м. Вінниця, вул. Промислова, буд. 4)</t>
  </si>
  <si>
    <t xml:space="preserve">ТОВ «СТАР ЕНЕРДЖИ ЛТД» </t>
  </si>
  <si>
    <t>(СЕС Київська обл., Бориспільський р-н, с. Сошників, вул. Шевченка, 39-Б</t>
  </si>
  <si>
    <t xml:space="preserve">ТОВ «ШАЙР ЛТД» </t>
  </si>
  <si>
    <t>(СЕС Вінницька обл., Гайсинський р-н, с. Кущинці, вул. Центральна, буд. 31Б, буд. 31Д</t>
  </si>
  <si>
    <t xml:space="preserve">ТОВ «ЕНЕРГОСОНЦЕ» </t>
  </si>
  <si>
    <t>(2 черга СЕС Дніпропетровська обл., м. Дніпро, вул. Мічуріна, 9</t>
  </si>
  <si>
    <t>СЕС Львівська обл., Миколаївський р-н, с. Розвадів, вул. Сагайдачного, 72а</t>
  </si>
  <si>
    <t xml:space="preserve">ТОВ «ПРОЛОГ СОЛАРІНВЕСТ» </t>
  </si>
  <si>
    <t>(СЕС Кіровоградська обл., м. Світловодськ, вул. Заводська, буд. 3-а)</t>
  </si>
  <si>
    <t xml:space="preserve">ТОВ «С.ЕНЕРДЖІ - КІРОВОГРАД» </t>
  </si>
  <si>
    <t>(СЕС «Павлівська» Кіровоградська обл., Світловодський р-н, Павлівська с/р (за межами населеного
пункту))</t>
  </si>
  <si>
    <t>ТОВ «КЛОНДАЙК-2»</t>
  </si>
  <si>
    <t>1 - 2 черги СЕС «Клондайк»</t>
  </si>
  <si>
    <t>Заставнівський р-н, с. Юрківці (кадастровий номер земельної
ділянки 7321589700:03:003:0031</t>
  </si>
  <si>
    <t>ПСП «АГРОФІРМА ПРИВІЛЛЯ»</t>
  </si>
  <si>
    <t>СЕС Луганська обл., Троїцький р-н, с. Привілля, вул. Молодіжна, 23</t>
  </si>
  <si>
    <t>(СЕС Луганська обл., Троїцький р-н, селище Троїцьке, вул. Північна, 4а</t>
  </si>
  <si>
    <t>ТЗОВ «АСПЕКТ ЕНЕРДЖІ ПЛЮС</t>
  </si>
  <si>
    <t>СЕС Львівська обл., м. Львів, вул. Бузкова, 2</t>
  </si>
  <si>
    <t>ТОВ «КІД ЕНЕРГО 1»</t>
  </si>
  <si>
    <t>СЕС Закарпатська обл., м. Ужгород, вул. Проектна, 6</t>
  </si>
  <si>
    <t xml:space="preserve">ТОВ «СОНЯШНИК 2018» </t>
  </si>
  <si>
    <t>(СЕС Дніпропетровська обл., м. Дніпро, вул. Старокодацька, 5)</t>
  </si>
  <si>
    <t>ТОВ «ФОТОНІКС»</t>
  </si>
  <si>
    <t>(СЕС Київська обл., Вишгородський р-н, с. Нові Петрівці, пров. 1-го Травня, буд. 49</t>
  </si>
  <si>
    <t xml:space="preserve">ТОВ «УКРПРОДЛОГІСТИКА» </t>
  </si>
  <si>
    <t>СЕС Вінницька обл, Вінницький р-н, смт Вороновиця, вул. Київська, буд. 13</t>
  </si>
  <si>
    <t xml:space="preserve">ТОВ «АЙ БІ СІ» </t>
  </si>
  <si>
    <t>(СЕС «СЕС Пересічне-2» Харківська обл., Дергачівський р-н, смт Пересічне, вул. Сумський шлях, 1-Р</t>
  </si>
  <si>
    <t>ТОВ «ІНТЕЛКОМ»</t>
  </si>
  <si>
    <t>СЕС м. Івано-Франківськ, вул. Микитинецька, 7ж)</t>
  </si>
  <si>
    <t>ПП «КОНСАЛТІМА-ГРУП»</t>
  </si>
  <si>
    <t xml:space="preserve">(1 черга СЕС Івано-Франківська обл., Тлумацький р-н, с. Озеряни, урочище «Загостинець» </t>
  </si>
  <si>
    <t>ТОВ «СТАНДАРТ-ГЕЛІОС»</t>
  </si>
  <si>
    <t>(СЕС Дніпропетровська обл., Нікопольський р-н, Червоногригорівська селищна рада, комплекс будівель
та споруд № 3</t>
  </si>
  <si>
    <t xml:space="preserve">ТОВ «ТОРГОВИЙ ДІМ ЯТРАНЬ» </t>
  </si>
  <si>
    <t>(СЕС Кіровоградська обл., Новомиргородський р-н, с. Каніж</t>
  </si>
  <si>
    <t>ТОВ «ЖОВТА ЕНЕРГІЯ»</t>
  </si>
  <si>
    <t>(СЕС Чернівецька обл., м. Чернівці, вул. Коломийська, буд. 4А)</t>
  </si>
  <si>
    <t>(СЕС Вінницька обл., Тиврівський р-н, с. Тростянець, вул. Жовтнева, 78</t>
  </si>
  <si>
    <t>ТОВ «ГЕЛІОСТРУМ»</t>
  </si>
  <si>
    <t>СЕС Харківська обл., Красноградський р-н, м. Красноград, вул. Українська, 25</t>
  </si>
  <si>
    <t>ТОВ «ІВАШКІВСЬКІ САДИ»</t>
  </si>
  <si>
    <t xml:space="preserve">(СЕС «Івашківська» Хмельницька обл., Хмельницький р-н, Копистинська сільська рада </t>
  </si>
  <si>
    <t xml:space="preserve">ПРАТ «ІНВЕСТОР» </t>
  </si>
  <si>
    <t>СЕС «Ананьїв» Одеська обл., Ананьївський р-н, м. Ананьїв, вул. Гагаріна, будинок 81б</t>
  </si>
  <si>
    <t>ТОВ «СОЛАР БОЛГРАД»</t>
  </si>
  <si>
    <t>(СЕС Одеська обл., Болградський р-н, с. Залізничне</t>
  </si>
  <si>
    <t xml:space="preserve">ТОВ «УМАНЬ ТРЕ» </t>
  </si>
  <si>
    <t>(СЕС Черкаська обл., Уманський р-н, смт Бабанка, вул. Гагаріна, буд. 65)</t>
  </si>
  <si>
    <t>ТОВ «УМАНЬ КВАДРО»</t>
  </si>
  <si>
    <t>СЕС Черкаська обл., Уманський р-н, с. Танське, вул. Центральна, буд. 19)</t>
  </si>
  <si>
    <t>КП «АГРОПРОЕКТТЕХБУД» ДНІПРОПЕТРОВСЬКОЇ ОБЛАСНОЇ РАДИ»</t>
  </si>
  <si>
    <t>(СЕС Дніпропетровська обл., м. Дніпро, вул. Філософська,
39-а</t>
  </si>
  <si>
    <t xml:space="preserve">ПРАТ «МЕТАЛУРГМАШ» </t>
  </si>
  <si>
    <t>(СЕС Дніпропетровська обл., м. Дніпро, вул. Собінова, буд. 1)</t>
  </si>
  <si>
    <t>(СЕС Дніпропетровська обл., Широківський р-н, Карпівська с/</t>
  </si>
  <si>
    <t>ТОВ «ГОРОДИЩЕ-ПУСТОВАРІВСЬКА АГРАРНА КОМПАНІЯ»</t>
  </si>
  <si>
    <t>(СЕС Київська обл., Володарський р-н, с. Городище-Пустоварівське,
вул. Березова, 1-д)</t>
  </si>
  <si>
    <t>(СЕС «Малинівка-2» Чернігівська обл., Чернігівський р-н, с. Малирівка вул. Чернігівська, 6-А)</t>
  </si>
  <si>
    <t>ПП «ПІКЕТ-БУД-ТРАНС»</t>
  </si>
  <si>
    <t xml:space="preserve">СЕС Волинська обл., Ковельський р-н, смт Голоби, вул. Ткача </t>
  </si>
  <si>
    <t xml:space="preserve">КТ «ПП «В.А.Т. КОМПАНІЯ «ДНІПРО «І КОМПАНІЯ» </t>
  </si>
  <si>
    <t>(2 черга СЕС м. Херсон, вул. Робоча, буд. 66</t>
  </si>
  <si>
    <t>ТОВ «САНБІМС ЕНЕРДЖІ»</t>
  </si>
  <si>
    <t>(СЕС Львівська обл., Миколаївський р-н, с. Стільсько, вул. Шевченка, буд. 260</t>
  </si>
  <si>
    <t xml:space="preserve">ТОВ «СФЕРА ЕНЕРДЖІ» </t>
  </si>
  <si>
    <t>СЕС Вінницька обл., Калинівський р-н, м. Калинівка, вул. І. Мазепи, 45</t>
  </si>
  <si>
    <t>ТОВ «АВРОРА СОЛАР»</t>
  </si>
  <si>
    <t>СЕС Івано-Франківська обл., Тисменицький р-н, с. Одаї, вул. Шевченка, буд. 32А</t>
  </si>
  <si>
    <t>ТОВ «СОЛАР ЕНЕРДЖІ ПЛЮС»</t>
  </si>
  <si>
    <t>(1 черга СЕС «Вари» Закарпатська обл., Берегівський р-н, Варівська сільська рада, № 1-а)</t>
  </si>
  <si>
    <t xml:space="preserve">ТОВ «СТРОЙ ЦЕНТР» </t>
  </si>
  <si>
    <t>(СЕС «СОНЕСТА» Чернігівська обл., Бахмацький р-н, м. Бахмач, вул. Роменська, 1А, 1Б, 1В</t>
  </si>
  <si>
    <t>ФОП СОСЮРА ОЛЕНА ВОЛОДИМИРІВНА</t>
  </si>
  <si>
    <t>СЕС м. Київ, вул. Червоноткацька, 83 (корпус N 140-а (літ. СХХХ</t>
  </si>
  <si>
    <t>ТОВ «УКРАЇНА-ЕНЕРГОВАТ»</t>
  </si>
  <si>
    <t>(СЕС Житомирська обл., Брусилівський р-н, с. Водотиї</t>
  </si>
  <si>
    <t>(СЕС Запорізька обл., м. Мелітополь, вул. Дмитра Донцова, 15/8)</t>
  </si>
  <si>
    <t>ТОВ «СОЛАР ЕНЕРДЖІ ІНВЕСТМЕНТС УКРАЇНА»</t>
  </si>
  <si>
    <t>СЕС Київська обл., Іванківський р-н, с/рада Дитятківська, к</t>
  </si>
  <si>
    <t>ТОВ «БОГУСЛАВЕНЕРДЖІ»</t>
  </si>
  <si>
    <t>СЕС «Богуслав-2» Київська обл., Богуславський р-н, м. Богуслав, вул. Богуславка, 154</t>
  </si>
  <si>
    <t>ТОВ «ФРАНКО-СОЛАР»</t>
  </si>
  <si>
    <t>СЕС Івано-Франківська обл., Галицький р-н, с. Маріямпіль, вул. Дністровська, буд. 34)</t>
  </si>
  <si>
    <t>ТОВ «БОЛГРАД ЕЛІОС»</t>
  </si>
  <si>
    <t>(СЕС Одеська обл., м. Болград, вул. Поштова, земельна ділянка 84 та земельна ділянка 135)</t>
  </si>
  <si>
    <t>ТОВ «МГВ»</t>
  </si>
  <si>
    <t>СЕС Івано-Франківська обл., Галицький р-н, с. Маріямпіль, вул. Дністровська, буд. 35</t>
  </si>
  <si>
    <t>ФОП СИРОЇЖКО ОЛЕКСІЙ ПЕТРОВИЧ</t>
  </si>
  <si>
    <t>СЕС Хмельницька обл., Хмельницький р-н, с/р Копистинська</t>
  </si>
  <si>
    <t>«ТОВ «ВЕСЕЛКА СЕС»</t>
  </si>
  <si>
    <t>СЕС Івано-Франківська обл.,Тисменицький р-н, м. Тисмениця, вул. Левицького К, буд. 118)</t>
  </si>
  <si>
    <t>«ТЗОВ «ЗАХІДУКРПОСТАЧ</t>
  </si>
  <si>
    <t>СЕС Волинська обл., м. Нововолинськ, вул. Княгині Ольги, 68)</t>
  </si>
  <si>
    <t xml:space="preserve">ТОВ «МОСТМАРЕНЕРДЖИ» </t>
  </si>
  <si>
    <t>СЕС Одеська обл., Овідіопольський р-н, смт Великодолинське, вул. Транспортна, 1 - В</t>
  </si>
  <si>
    <t xml:space="preserve">ТОВ «ТОРГОВИЙ ДІМ «ЗАХІДНА ЛИВАРНА ГРУПА» </t>
  </si>
  <si>
    <t>(СЕС Волинська обл., м. Горохів, вул. Берестецька, 10</t>
  </si>
  <si>
    <t>ТОВ «ГРІН ЕНЕРДЖІ ІНВЕСТ»</t>
  </si>
  <si>
    <t>(СЕС «Меблева 3» Івано-Франківська обл., м. Івано-Франківськ, вул. Левинського І., буд. 1)</t>
  </si>
  <si>
    <t>ТОВ «СОЛАР ЕСТЕЙТ»</t>
  </si>
  <si>
    <t>(СЕС «УМІТЛІ-3» Дніпропетровська обл., Царичанський р-н, біля с. Катеринівка</t>
  </si>
  <si>
    <t>(3 черга СЕС «Богуслав-3» Київська обл., Богуславський р-н, м. Богуслав, вул. Богуславка, буд. 150</t>
  </si>
  <si>
    <t>ТОВ «ЕКОЕНЕРГОПОСТАЧ»</t>
  </si>
  <si>
    <t>2 черга СЕС Хмельницька обл., Новоушицький р-н, за межами с. Рудківці</t>
  </si>
  <si>
    <t>ТОВ «СОЛЯРІС-ЕНЕРДЖІ»</t>
  </si>
  <si>
    <t>(СЕС Закарпатська обл., Виноградівський р-н, с. Шаланки, вул. Сальва, буд. 1г</t>
  </si>
  <si>
    <t>ТОВ «ЕКОЕНЕРДЖИ ДНІПРО»</t>
  </si>
  <si>
    <t>СЕС Дніпропетровська обл., Нікопольський р-н, Червоногригорівська селищна рада, комплекс
будівель та споруд N 2</t>
  </si>
  <si>
    <t xml:space="preserve">ТОВ «КОЛОМИЯЕНЕРГО» </t>
  </si>
  <si>
    <t>(1 черга СЕС «Коломия» Івано-Франківська обл., м. Коломия, вул. Івана Шарлая,</t>
  </si>
  <si>
    <t xml:space="preserve">ТОВ «СВІТЛО ДЛЯ СВІТУ» </t>
  </si>
  <si>
    <t>(СЕС Рівненська обл., Березнівський р-н, с. Бистричі, вул. Надслучанська, будинок 312)</t>
  </si>
  <si>
    <t>ТОВ «ТІОТУ ЕНЕРДЖИ»</t>
  </si>
  <si>
    <t>(СЕС «Олександрівка-3» Херсонська обл., с. Олександрівка, вул. Об'їзна, 1</t>
  </si>
  <si>
    <t xml:space="preserve">ТОВ «СК-МОНОЛИТ» </t>
  </si>
  <si>
    <t>(СЕС Харківська обл., Харківський р-н, м. Мерефа, вул. Мічуріна</t>
  </si>
  <si>
    <t>ТОВ «ДІВАРІО ЕНЕРГІЯ»</t>
  </si>
  <si>
    <t>(СЕС «Іванів» Вінницька обл., Калинівський р-н, с. Іванів, вул. Івана Франка, буд. 1)</t>
  </si>
  <si>
    <t>ТОВ «СПС ФІНАНС ГРУП»</t>
  </si>
  <si>
    <t>1  черга СЕС Івано-Франківська обл., Тлумацький р-н, с. Гончарівка, вул. Центральна, буд. 1К, 1П, 1М,
1Н, 1Р</t>
  </si>
  <si>
    <t>2  черга СЕС Івано-Франківська обл., Тлумацький р-н, с. Гончарівка, вул. Центральна, буд. 1К, 1П, 1М,
1Н, 1Р</t>
  </si>
  <si>
    <t>ТОВ «ВІТ ЕНЕРДЖІ «РІПНА»</t>
  </si>
  <si>
    <t>(СЕС «Богданівська» Хмельницька область, Волочиський р-н, с. Богданівка, вул. Шевченка, 27</t>
  </si>
  <si>
    <t>ТОВ «ТРИХАТИ-ЕЛІОС»</t>
  </si>
  <si>
    <t>(СЕС Миколаївська обл., Миколаївський р-н, с. Трихати, вул. Промислова, 4</t>
  </si>
  <si>
    <t xml:space="preserve">ТОВ «ЛАН» </t>
  </si>
  <si>
    <t>1 черга СЕС «ЛАН» Кіровоградська обл., Новоукраїнський р-н, Новомиколаївська сільська рада)</t>
  </si>
  <si>
    <t xml:space="preserve">ПОСП «НАПАДІВСЬКЕ» </t>
  </si>
  <si>
    <t>(СЕС Вінницька обл., Калинівський р-н, с. Нападівка, вул. Першотравнева, буд. 10)</t>
  </si>
  <si>
    <t>ФГ «ФЕРМЕРЛЕНД»</t>
  </si>
  <si>
    <t>ТОВ «ЗЕЛЕНА ЕКО ПЛАНЕТА»</t>
  </si>
  <si>
    <t>(СЕС Івано-Франківська обл., Тисменицький р-н, с. Чорнолізці, вул. Панська , б/н)</t>
  </si>
  <si>
    <t xml:space="preserve">ТОВ «НІКЕЛІОС» </t>
  </si>
  <si>
    <t>СЕС Дніпропетровська обл., Нікопольський р-н, с/рада Менжинська</t>
  </si>
  <si>
    <t>ТОВ «ХОЛДИНГОВА КОМПАНІЯ «ЕНЕРГІЯ ПОДІЛЛЯ»</t>
  </si>
  <si>
    <t>(СЕС Хмельницька обл., Летичівський р-н, Грушковецька с/р, за межами
населених пунктів)</t>
  </si>
  <si>
    <t xml:space="preserve">ТОВ «ЮРСАР» </t>
  </si>
  <si>
    <t>(СЕС Закарпатська обл., м. Ужгород, вул. Бестужева, 9</t>
  </si>
  <si>
    <t xml:space="preserve">ТОВ «ГРІН ЕНЕРДЖИ ММХ» </t>
  </si>
  <si>
    <t xml:space="preserve">(СЕС «Матвіївка 1» Запорізька обл., Вільнянський р-н, с. Матвіївка </t>
  </si>
  <si>
    <t>ТОВ «ПІДСТЕПНЕ СОНЦЕ»</t>
  </si>
  <si>
    <t>(СЕС Херсонська обл..Олешківський р-н, Підстепненська с/р</t>
  </si>
  <si>
    <t>ТОВ «ВИНСОЛАР»</t>
  </si>
  <si>
    <t>(1 черга СЕС Хмельницька обл., Ярмолинецький р-н, територія Баламутівської с/р)</t>
  </si>
  <si>
    <t>ІІ</t>
  </si>
  <si>
    <t>ТОВ «АЛЬТЕРНАТИВНА ЗАХІДНА ТЕПЛО-ЕНЕРГЕТИЧНА КОМПАНІЯ»</t>
  </si>
  <si>
    <t>(СЕС Львівська обл., Пустомитівський р-н, с. Чишки,
вул. Лесі Українки, 53</t>
  </si>
  <si>
    <t>ПП «РІВС-2013»</t>
  </si>
  <si>
    <t>(СЕС м. Черкаси, вул. Благовісна/Горького, буд. 372/59 (0,122</t>
  </si>
  <si>
    <t>а СЕС м. Черкаси, вул. Благовісна/Горького, буд.
372/59 (0,198</t>
  </si>
  <si>
    <t>СТ «СОНЯЧНЕ МІСТО»</t>
  </si>
  <si>
    <t>СЕС Київська обл., м. Славутич, пр. Дружби Народів, будинок 7</t>
  </si>
  <si>
    <t>(СЕС Київська обл., м. Славутич, площа Центральна, будинок 3)</t>
  </si>
  <si>
    <t>СЕС Київська обл., м. Славутич, площа Центральна, будинок 5</t>
  </si>
  <si>
    <t>ТОВ «ЕНЕРДЖІ СОЛАР ІСТЕЙТ»</t>
  </si>
  <si>
    <t>СЕС Дніпропетровська обл., Солонянський р-н, с/рада Башмачанська</t>
  </si>
  <si>
    <t>ПП «ГРІН-КОМЕРЦ»</t>
  </si>
  <si>
    <t>(СЕС «Вільховець» Київська обл., Богуславський р-н, с. Вільховець, вул. Гагаріна, 22 л)</t>
  </si>
  <si>
    <t>ТОВ «ЗАВОД СИЛОВІ ЦИЛІНДРИ»</t>
  </si>
  <si>
    <t>(СЕС Вінницька обл., м. Вінниця, вул. Батозька, 16-б</t>
  </si>
  <si>
    <t>ТОВ «ЗЕЛЕНА ЕНЕРГІЯ.»</t>
  </si>
  <si>
    <t>(СЕС «Зелена енергія-1» Запорізька обл., Якимівський р-н, смт Кирилівка, вул. Федотова коса, 114)</t>
  </si>
  <si>
    <t>ТОВ «ІНТЕР СОЛАР»</t>
  </si>
  <si>
    <t>(СЕС Київська обл., Броварський р-н, с. Княжичі, вул. Медова, 2</t>
  </si>
  <si>
    <t>ТОВ «СМАРТ ЕНЕРДЖИ СИСТЕМС»</t>
  </si>
  <si>
    <t>СЕС м. Київ, вул. Вербова, буд. 24, літера А</t>
  </si>
  <si>
    <t>ТОВ «ЗАХІДНОУКРАЇНСЬКЕ ІННОВАЦІЙНЕ АГЕНТСТВО»</t>
  </si>
  <si>
    <t>(СЕС Івано-Франківська обл., Тисменицький р-н, с. Марківці, вул. Нивки, 89)</t>
  </si>
  <si>
    <t>(СЕС Чернівецька обл., Новоселицький р-н, с. Припруття за межами населеного пункту</t>
  </si>
  <si>
    <t>(СЕС 2 Чернівецька обл., Новоселицький р-н, с. Припруття за межами населеного пункту</t>
  </si>
  <si>
    <t>ТОВ «САН ВЕСТ ЕНЕРДЖІ»</t>
  </si>
  <si>
    <t>(2 черга СЕС Івано-Франківська обл.,Рогатинський р-н, с. Сарники,</t>
  </si>
  <si>
    <t>(СЕС м. Івано-Франківськ, вул. Максимовича, 15 М</t>
  </si>
  <si>
    <t>СЕС м. Івано-Франківськ, вул. Максимовича, 15М, № 1</t>
  </si>
  <si>
    <t>ТОВ «САН ВЕСТ ЕНЕРДЖІ ГРУП»</t>
  </si>
  <si>
    <t>(СЕС «Сан Вест Енерджі Груп» Івано-Франківська обл., Рогатинський р-н, с. Сарники, вул. Зарічна, 16-в)</t>
  </si>
  <si>
    <t>ТОВ СКК «МИКОЛАЇВСЬКА ВЕРФ»</t>
  </si>
  <si>
    <t>(СЕС м. Миколаїв, вул. Морехідна, буд. 1В/6</t>
  </si>
  <si>
    <t>ТОВ «СП-АЛЬЯНС»</t>
  </si>
  <si>
    <t>(СЕС Івано-Франківська обл., м. Бурштин, вул. В. Стуса, буд. 4</t>
  </si>
  <si>
    <t>(СЕС «Вербівці Солар 180» та СЕС «Вербівці Солар 500»
Тернопільська обл., Теребовлянський р-н, с. Вербівці, вул. Мазури, 34</t>
  </si>
  <si>
    <t>мГЕС</t>
  </si>
  <si>
    <t>ПП "Авкубі"</t>
  </si>
  <si>
    <t>Лебединська ГЕС</t>
  </si>
  <si>
    <t>Голованівський</t>
  </si>
  <si>
    <t>с. Лебединка</t>
  </si>
  <si>
    <t>вул. Ятрань 24</t>
  </si>
  <si>
    <t>MIROPILHPP</t>
  </si>
  <si>
    <t>ТОВ "Агропроменерго"</t>
  </si>
  <si>
    <t>Миропільська ГЕС</t>
  </si>
  <si>
    <t>Романівський</t>
  </si>
  <si>
    <t>смт Миропіль</t>
  </si>
  <si>
    <t>вул. Лісова, 1</t>
  </si>
  <si>
    <t>ПП "Агропром-енерго"</t>
  </si>
  <si>
    <t>Млинівська ГЕС</t>
  </si>
  <si>
    <t>смт Млинів</t>
  </si>
  <si>
    <t>ТОВ "Аква Вітта"</t>
  </si>
  <si>
    <t>Бардівська ГЕС</t>
  </si>
  <si>
    <t>с. Барди</t>
  </si>
  <si>
    <t>ТОВ "Акванова Девелопмент"</t>
  </si>
  <si>
    <t>ГЕС в с. Нижній Бистрий</t>
  </si>
  <si>
    <t>Хустський</t>
  </si>
  <si>
    <t>с. Нижній Бистрий</t>
  </si>
  <si>
    <t>BILCHEZOLOTHPP</t>
  </si>
  <si>
    <t>ТОВ "АКВАНОВА ІНВЕСТМЕНТ"</t>
  </si>
  <si>
    <t xml:space="preserve">ГЕС </t>
  </si>
  <si>
    <t>Борщівський</t>
  </si>
  <si>
    <t>с. Більче-Золоте</t>
  </si>
  <si>
    <t>вул. Згать, 41</t>
  </si>
  <si>
    <t>BILCHEZOLOT2HPP</t>
  </si>
  <si>
    <t>ГЕС</t>
  </si>
  <si>
    <t>вул. Згать, 41а</t>
  </si>
  <si>
    <t>NOVOSHYTSKAHPP</t>
  </si>
  <si>
    <t>Новошицька ГЕС</t>
  </si>
  <si>
    <t>Дрогобицький</t>
  </si>
  <si>
    <t>с. Новошичі</t>
  </si>
  <si>
    <t>ТОВ "Акваресурсенерго"</t>
  </si>
  <si>
    <t>Ужгородська ГЕС</t>
  </si>
  <si>
    <t>м. Ужгород</t>
  </si>
  <si>
    <t>вул. Електрозаводська, буд.4</t>
  </si>
  <si>
    <t>Оноківська ГЕС</t>
  </si>
  <si>
    <t>с. Оноківці</t>
  </si>
  <si>
    <t>вул. Енергетиків, буд.17</t>
  </si>
  <si>
    <t>Костянтинівська ГЕС</t>
  </si>
  <si>
    <t>с.Богданівка</t>
  </si>
  <si>
    <t>на р.Південний Буг</t>
  </si>
  <si>
    <t>MYSLYATYNSKAHPP</t>
  </si>
  <si>
    <t>ПАТ "Альтен"</t>
  </si>
  <si>
    <t>Мислятинська ГЕС</t>
  </si>
  <si>
    <t>Ізяславський</t>
  </si>
  <si>
    <t>с. Мислятин</t>
  </si>
  <si>
    <t>NOVOLABUNSKAHPP</t>
  </si>
  <si>
    <t>Новолабунська ГЕС</t>
  </si>
  <si>
    <t>Полонський</t>
  </si>
  <si>
    <t>с. Новолабунь</t>
  </si>
  <si>
    <t>ПП "Альтенер"</t>
  </si>
  <si>
    <t>ГЕС на р.Брустурянка</t>
  </si>
  <si>
    <t>Тячівський</t>
  </si>
  <si>
    <t>на території Лопухівської с.ради</t>
  </si>
  <si>
    <t>смт.Усть Чорна</t>
  </si>
  <si>
    <t>територія Усть-Чорнянської селищної ради</t>
  </si>
  <si>
    <t>ПП "Арсенал-Т-07</t>
  </si>
  <si>
    <t>Дубівська ГЕС</t>
  </si>
  <si>
    <t>с. Дубівка</t>
  </si>
  <si>
    <t>вул. Жовтнева, 18</t>
  </si>
  <si>
    <t>Острівецька ГЕС</t>
  </si>
  <si>
    <t>с. Острівець</t>
  </si>
  <si>
    <t>вул. Черняховського, 26</t>
  </si>
  <si>
    <t>ТОВ "Буменерго"</t>
  </si>
  <si>
    <t>ГЕС на р.Мурафа</t>
  </si>
  <si>
    <t>с. Івонівка</t>
  </si>
  <si>
    <t>вул. Кірова, 163-А</t>
  </si>
  <si>
    <t>ТОВ "Ваттенкрафт Україна"</t>
  </si>
  <si>
    <t>Великоолександрівська ГЕС</t>
  </si>
  <si>
    <t>Великоолександрівський</t>
  </si>
  <si>
    <t>на р. Інгулець</t>
  </si>
  <si>
    <t>КП "Компанія "Вода Донбасу"</t>
  </si>
  <si>
    <t>Краснооскільська ГЕС</t>
  </si>
  <si>
    <t>Ізюмський</t>
  </si>
  <si>
    <t>ТОВ "Генеруюча Компанія Енергоперспектива"</t>
  </si>
  <si>
    <t>Кам’янець-Подільська ГЕС</t>
  </si>
  <si>
    <t>м. Кам’янець- Подільський</t>
  </si>
  <si>
    <t>Полянська ГЕС</t>
  </si>
  <si>
    <t>Славутський</t>
  </si>
  <si>
    <t>с. Полянь</t>
  </si>
  <si>
    <t>вул. Вишнева 4</t>
  </si>
  <si>
    <t>Ріпинецька ГЕС</t>
  </si>
  <si>
    <t>Кам’янець-Подільський</t>
  </si>
  <si>
    <t>с. Ріпинці</t>
  </si>
  <si>
    <t>Цибулівська ГЕС</t>
  </si>
  <si>
    <t>с. Цибулівка</t>
  </si>
  <si>
    <t>вул. Набережна, 1б</t>
  </si>
  <si>
    <t>ТОВ "Гідроенергія - 1"</t>
  </si>
  <si>
    <t>Мазурівська ГЕС</t>
  </si>
  <si>
    <t>Чернівецький</t>
  </si>
  <si>
    <t>с. Мазурівка</t>
  </si>
  <si>
    <t>ГЕС на р.Рів</t>
  </si>
  <si>
    <t>с. Демидівка</t>
  </si>
  <si>
    <t>на території Демидівської сільради</t>
  </si>
  <si>
    <t>ТОВ "Гідроенергоінвест"</t>
  </si>
  <si>
    <t>Бобрівська ГЕС</t>
  </si>
  <si>
    <t>Лебединський</t>
  </si>
  <si>
    <t>с. Боброве</t>
  </si>
  <si>
    <t>Гайворонська ГЕС</t>
  </si>
  <si>
    <t>Гайворонський</t>
  </si>
  <si>
    <t>на р. П.Буг</t>
  </si>
  <si>
    <t>Краснохутірська ГЕС</t>
  </si>
  <si>
    <t>на р. Синюха</t>
  </si>
  <si>
    <t>Сутиська ГЕС</t>
  </si>
  <si>
    <t>Тиврівський</t>
  </si>
  <si>
    <t>смт Сутиски</t>
  </si>
  <si>
    <t>вул. Зарічна, 6</t>
  </si>
  <si>
    <t>Тернівська ГЕС</t>
  </si>
  <si>
    <t>Новоархагельський</t>
  </si>
  <si>
    <t>Мартинківська ГЕС</t>
  </si>
  <si>
    <t>Городоцький</t>
  </si>
  <si>
    <t>с. Мартинківці</t>
  </si>
  <si>
    <t>вул. Б.Хмельницького, 46</t>
  </si>
  <si>
    <t>Новоархангельська ГЕС</t>
  </si>
  <si>
    <t>Новоархангельський</t>
  </si>
  <si>
    <t>ГЕС "Полонисте"</t>
  </si>
  <si>
    <t>с. Полонисте</t>
  </si>
  <si>
    <t>вул. Шевченка, 1а</t>
  </si>
  <si>
    <t>ГЕС на річці Ятрань</t>
  </si>
  <si>
    <t>с. Перегонівка</t>
  </si>
  <si>
    <t>вул. Набережна, 1 - А</t>
  </si>
  <si>
    <t>Велико-Сорочинська ГЕС</t>
  </si>
  <si>
    <t>Миргородський</t>
  </si>
  <si>
    <t>с. Великі Сорочинці</t>
  </si>
  <si>
    <t>с.Великі Сорочинці</t>
  </si>
  <si>
    <t>ГЕС "Чижівка"</t>
  </si>
  <si>
    <t>Новоград-Волинський</t>
  </si>
  <si>
    <t>с.Чижівка</t>
  </si>
  <si>
    <t>ГЕС «Давидівка»</t>
  </si>
  <si>
    <t>с. Давидівка</t>
  </si>
  <si>
    <t>ТОВ "Гідроенергоресурс"</t>
  </si>
  <si>
    <t>ГЕС на р.Ворскла</t>
  </si>
  <si>
    <t>с. Терентіївка</t>
  </si>
  <si>
    <t>вул. Річкова, 1</t>
  </si>
  <si>
    <t>ТОВ "Гідрозахід"</t>
  </si>
  <si>
    <t>Кузьминська ГЕС</t>
  </si>
  <si>
    <t>Красилівський</t>
  </si>
  <si>
    <t>с. Кузьмин</t>
  </si>
  <si>
    <t>вул. Свердлова 1б</t>
  </si>
  <si>
    <t>ТОВ "Гідросвіт"</t>
  </si>
  <si>
    <t>смт. Меджибіж</t>
  </si>
  <si>
    <t>вул. Набережна, 2/1</t>
  </si>
  <si>
    <t>ТОВ "Гідропауер"</t>
  </si>
  <si>
    <t>Сваричівська ГЕС</t>
  </si>
  <si>
    <t>Рожнятівський</t>
  </si>
  <si>
    <t>с.Сваричів</t>
  </si>
  <si>
    <t>ТОВ "Гідропауер-1"</t>
  </si>
  <si>
    <t>ГЕС "Капустянка"</t>
  </si>
  <si>
    <t>ГЕС "Капустянка", розташ.на скидних спорудах шламонакопичувача "Капустянка" ПАТ "ЗМК "Запоріжсталь" з генеруючим обладнанням, м.Запоріжжя, Балка Капустянка, вул.Каліброва</t>
  </si>
  <si>
    <t>ТОВ "Гідро Плюс"</t>
  </si>
  <si>
    <t>на території Лопухівської сільської ради</t>
  </si>
  <si>
    <t>ТОВ "Гідроресурс-К"</t>
  </si>
  <si>
    <t>Лисянська ГЕС</t>
  </si>
  <si>
    <t>Лисянський</t>
  </si>
  <si>
    <t>с. Лисянка</t>
  </si>
  <si>
    <t>пров. Бужанський, 56</t>
  </si>
  <si>
    <t>Кривоколінська ГЕС</t>
  </si>
  <si>
    <t>с. Криві Коліна</t>
  </si>
  <si>
    <t>Юрпільська ГЕС</t>
  </si>
  <si>
    <t>Маньківський</t>
  </si>
  <si>
    <t>с. Юрпіль</t>
  </si>
  <si>
    <t>ТОВ "Грін Енерджі"</t>
  </si>
  <si>
    <t>Карачківецька ГЕС</t>
  </si>
  <si>
    <t>с. Карачківці</t>
  </si>
  <si>
    <t>вул. Набережна, 1/11</t>
  </si>
  <si>
    <t>Придністрянська ГЕС</t>
  </si>
  <si>
    <t>с.Придністрянське</t>
  </si>
  <si>
    <t>на річці Марківка</t>
  </si>
  <si>
    <t>ФОП "Гоголь В. І."</t>
  </si>
  <si>
    <t>Кунівска ГЕС</t>
  </si>
  <si>
    <t>с. Кунів</t>
  </si>
  <si>
    <t>SHYSHATSKAHPP</t>
  </si>
  <si>
    <t>ТОВ "БТК "ЕДЕЛЬВЕЙС"</t>
  </si>
  <si>
    <t>Шишацька ГЕС</t>
  </si>
  <si>
    <t xml:space="preserve">Шишацький </t>
  </si>
  <si>
    <t>смт Шишаки</t>
  </si>
  <si>
    <t>вул. ГЕС, 3</t>
  </si>
  <si>
    <t>мГЕС(ООС)</t>
  </si>
  <si>
    <t>ТОВ "Екодонресурс"</t>
  </si>
  <si>
    <t>Старобешівський</t>
  </si>
  <si>
    <t>смт Новий Світ</t>
  </si>
  <si>
    <t>вул. Станціонна, 2б</t>
  </si>
  <si>
    <t>ТОВ "Емза"</t>
  </si>
  <si>
    <t>Мигіївська ГЕС</t>
  </si>
  <si>
    <t>Первомайський</t>
  </si>
  <si>
    <t>с. Мигія</t>
  </si>
  <si>
    <t>вул. Колгоспна (Туристична), 42</t>
  </si>
  <si>
    <t>ТОВ "Енергіс -Поділля"</t>
  </si>
  <si>
    <t>Бережанська ГЕС</t>
  </si>
  <si>
    <t>с. Бережанка</t>
  </si>
  <si>
    <t>вул. Нижня Бережанська 804</t>
  </si>
  <si>
    <t>с. Мала Бережанка</t>
  </si>
  <si>
    <t>вул. Набережна, 26а</t>
  </si>
  <si>
    <t>KASPERHPP</t>
  </si>
  <si>
    <t>ТОВ "ЕНЕРГІЯ - 1"</t>
  </si>
  <si>
    <t>Касперівська ГЕС</t>
  </si>
  <si>
    <t>Касперівська ГЕС, Тернопільська обл., Заліщицький р-н, с. Касперівці</t>
  </si>
  <si>
    <t>BOHUSLAVHPP</t>
  </si>
  <si>
    <t>Богуславська ГЕС</t>
  </si>
  <si>
    <t>Богуславська ГЕС, Київська обл., м. Богуслав, вул. Грушевського, 22</t>
  </si>
  <si>
    <t>DYBENTSIHPP</t>
  </si>
  <si>
    <t>Дибинецька ГЕС</t>
  </si>
  <si>
    <t>Дибинецька ГЕС, Київська обл., Богуславський р-н, с. Дибинці, вул. Надросся, 10а</t>
  </si>
  <si>
    <t>KUNTSIVSKAHPP</t>
  </si>
  <si>
    <t>Кунцівська ГЕС</t>
  </si>
  <si>
    <t>Кунцівська ГЕС, Полтавська обл., Новосанжарський р-н, с. Кунцеве, вул. Рибальська, 20</t>
  </si>
  <si>
    <t>OPISHNYANSKAHPP</t>
  </si>
  <si>
    <t>Опішнянська ГЕС</t>
  </si>
  <si>
    <t>Опішнянська ГЕС, Полтавська обл., Опішнянський р-н, с. Міські Млини, вул. Побережна, 1б</t>
  </si>
  <si>
    <t>OSTAPYEVSKAHPP</t>
  </si>
  <si>
    <t>Остап’євська ГЕС</t>
  </si>
  <si>
    <t>Остап’євська ГЕС, Полтавська обл., В.Багачанський р-н, с. Остап’є, вул. Горького, 100</t>
  </si>
  <si>
    <t>SUKHORABIVSKAHPP</t>
  </si>
  <si>
    <t>Сухорабівська ГЕС</t>
  </si>
  <si>
    <t>Сухорабівська ГЕС, Полтавська обл., Решетілівський р-н, с. Сухорабівка, вул. Щорса, 104</t>
  </si>
  <si>
    <t>BILINSKAHPP</t>
  </si>
  <si>
    <t>ТОВ "ЕНЕРГІЯ КАРПАТ"</t>
  </si>
  <si>
    <t>Білинська ГЕС</t>
  </si>
  <si>
    <t>Білинська ГЕС, Закарпатська обл., Рахівський р-н, с. Білин</t>
  </si>
  <si>
    <t>Щедрівська ГЕС</t>
  </si>
  <si>
    <t>Щедрівська ГЕС, Хмельницька обл., на р. П.Буг</t>
  </si>
  <si>
    <t>YANIVSKAHPP</t>
  </si>
  <si>
    <t>Янівська ГЕС</t>
  </si>
  <si>
    <t>Янівська ГЕС, Тернопільська обл.</t>
  </si>
  <si>
    <t>ТОВ "Енергоактив-1"</t>
  </si>
  <si>
    <t>Дулицька ГЕС</t>
  </si>
  <si>
    <t>Дулицька ГЕС, Київська обл., Сквирський р-н, с.Безпечна, вул. Шевченка, 1а</t>
  </si>
  <si>
    <t>Васильківська ГЕС</t>
  </si>
  <si>
    <t>Васильківська ГЕС, Дніпропетровська обл., Васильківський р-н, смт.Васильківка, вул.Польова, 2а</t>
  </si>
  <si>
    <t>BRATSLAVHPP</t>
  </si>
  <si>
    <t>Брацлавська ГЕС</t>
  </si>
  <si>
    <t>Брацлавська ГЕС, Вінницька обл., Немирівський р-н, смт Брацлав, вул. Горького, 13</t>
  </si>
  <si>
    <t>GALZHBHPP</t>
  </si>
  <si>
    <t>Гальжбіївська ГЕС</t>
  </si>
  <si>
    <t>Гальжбіївська ГЕС, Вінницька обл., Ямпільський р-н, с. Біла</t>
  </si>
  <si>
    <t>GLYBOCHOKHPP</t>
  </si>
  <si>
    <t>Глибочанська ГЕС</t>
  </si>
  <si>
    <t>Глибочанська ГЕС, Вінницька обл., Тростянецький р-н, с. Тростянчик</t>
  </si>
  <si>
    <t>DMYTRENKYHPP</t>
  </si>
  <si>
    <t>Дмитренківська ГЕС</t>
  </si>
  <si>
    <t>Дмитренківська ГЕС, Вінницька обл., Гайсинський р-н, с. Дмитренки</t>
  </si>
  <si>
    <t>ZOLLYPAHPP</t>
  </si>
  <si>
    <t>Золотолипська ГЕС</t>
  </si>
  <si>
    <t>Золотолипська ГЕС, Івано-Франківська обл., Тлумацький р-н, с. Золота Липа</t>
  </si>
  <si>
    <t>PETRASHIVKAHPP</t>
  </si>
  <si>
    <t>Петрашівська ГЕС</t>
  </si>
  <si>
    <t>Петрашівська ГЕС, Вінницька обл., Ямпільський р-н, с. Петрашівка</t>
  </si>
  <si>
    <t>SABARIVHPP</t>
  </si>
  <si>
    <t>Сабарівська ГЕС</t>
  </si>
  <si>
    <t>Сабарівська ГЕС, м. Вінниця, вул. Черняховського, 98</t>
  </si>
  <si>
    <t>SKALOPILHPP</t>
  </si>
  <si>
    <t>Скалопільська ГЕС</t>
  </si>
  <si>
    <t>Скалопільська ГЕС, Вінницька обл., Чернівецький р-н, с. Скалопіль, вул. Будьоного, 14</t>
  </si>
  <si>
    <t>SLOBODAHPP</t>
  </si>
  <si>
    <t>Слобода-Бушанська ГЕС</t>
  </si>
  <si>
    <t>Слобода-Бушанська ГЕС, Вінницька обл., Ямпільський р-н, с. Слобода- Бушанська</t>
  </si>
  <si>
    <t>SNIATYNHPP</t>
  </si>
  <si>
    <t>Снятинська ГЕС</t>
  </si>
  <si>
    <t>Снятинська ГЕС, Івано-Франківська обл., м. Снятин</t>
  </si>
  <si>
    <t>CHERNIATKAHPP</t>
  </si>
  <si>
    <t>Чернятська ГЕС</t>
  </si>
  <si>
    <t>Чернятська ГЕС, Вінницька обл., Бершадський р-н, с. Чернятка</t>
  </si>
  <si>
    <t>YAVORAHPP</t>
  </si>
  <si>
    <t>Явірська ГЕС</t>
  </si>
  <si>
    <t>Явірська ГЕС, Львівська обл., Турківський р-н, с Явора</t>
  </si>
  <si>
    <t>ПП "Енерголісбуд-2008"</t>
  </si>
  <si>
    <t>Лугинська ГЕС</t>
  </si>
  <si>
    <t>Лугинська ГЕС, Житомирська обл., Лугинський р-н, смт Лугини, вул. Зелена, 40б</t>
  </si>
  <si>
    <t>Повчанська ГЕС</t>
  </si>
  <si>
    <t>Повчанська ГЕС, Житомирська обл., Лугинський р-н, с. Повч, вул. Повчанка, 43а</t>
  </si>
  <si>
    <t>ТОВ "Єдиний енергостандарт"</t>
  </si>
  <si>
    <t>Низівська ГЕС</t>
  </si>
  <si>
    <t>Низівська ГЕС, Сумська обл., Сумський р-н, смт. Низи, р. Псел</t>
  </si>
  <si>
    <t>Ворожбянська ГЕС</t>
  </si>
  <si>
    <t>Ворожбянська ГЕС, Сумська обл., Лебединський р-н, с. Кердилівщина</t>
  </si>
  <si>
    <t>Михайлівська ГЕС</t>
  </si>
  <si>
    <t>Михайлівська ГЕС, Сумська обл., Лебединський р-н, с. Михайлівка</t>
  </si>
  <si>
    <t>Седнівська ГЕС</t>
  </si>
  <si>
    <t>Седнівська ГЕС, Чернігівська обл., Чернігівський р-н, смт Седнів, вул.Шевченка, 74</t>
  </si>
  <si>
    <t>ТОВ "Житомир Авто Інтернешнл"</t>
  </si>
  <si>
    <t>Млинищенська ГЕС</t>
  </si>
  <si>
    <t>Млинищенська ГЕС, Житомирська обл., Житомирський р-н, с. Млинище, вул. Кучер Люби, 32а</t>
  </si>
  <si>
    <t>ТОВ "Житомиркомунсервіс"</t>
  </si>
  <si>
    <t>Ліщинська ГЕС</t>
  </si>
  <si>
    <t>Ліщинська ГЕС, Житомирська обл., Житомирський р-н, с. Ліщин, вул. Рад, 25а</t>
  </si>
  <si>
    <t>Мікро ГЕС на р.Тетерів</t>
  </si>
  <si>
    <t>Мікро ГЕС на р.Тетерів, м.Житомир, вул. Жуйка,12</t>
  </si>
  <si>
    <t>Ладижинська ГЕС</t>
  </si>
  <si>
    <t>Ладижинська ГЕС, Вінницька обл., м. Ладижин</t>
  </si>
  <si>
    <t>ТОВ "Зелена технологія"</t>
  </si>
  <si>
    <t>Тур’я-Полянською ГЕС</t>
  </si>
  <si>
    <t>Тур’я-Полянською ГЕС, Закарпатська обл., Перечинський р-н, с. Тур’я Поляна</t>
  </si>
  <si>
    <t>ПП "Комерцконсалт"</t>
  </si>
  <si>
    <t>Мала ГЕС на р. Шипіт</t>
  </si>
  <si>
    <t>Мала ГЕС на р. Шипіт, Закарпатська обл., Перечинський р-н, с. Тур’я Поляна, вул. Шевченка, 127 А</t>
  </si>
  <si>
    <t>ТОВ "Компанія Гідроенерго"</t>
  </si>
  <si>
    <t>Березівська ГЕС</t>
  </si>
  <si>
    <t>Березівська ГЕС, Кіровоградська обл., Гайворонський р-н, с. Березівка, вул. Дачна, 1</t>
  </si>
  <si>
    <t>Савранська ГЕС</t>
  </si>
  <si>
    <t>Савранська ГЕС, Одеська обл., Савранський район</t>
  </si>
  <si>
    <t>ТОВ "КупинГідро"</t>
  </si>
  <si>
    <t>Купинівська ГЕС</t>
  </si>
  <si>
    <t>Купинівська ГЕС, Хмельницька обл., Городоцький р-н, с.Купин, вул.Пушкіна 1а, р.Смотрич</t>
  </si>
  <si>
    <t>ТОВ "КФ "Слов’янська"</t>
  </si>
  <si>
    <t>Коростенська ГЕС</t>
  </si>
  <si>
    <t>Коростенська ГЕС, Житомирська обл., Коростенський р-н, с. Поліське, вул. Жмаченка, 1а</t>
  </si>
  <si>
    <t>ТОВ "Лан Груп"</t>
  </si>
  <si>
    <t>Соколівська ГЕС</t>
  </si>
  <si>
    <t>Соколівська ГЕС, Тернопільська обл., Теребовлянський р-н, с. Соколів, вул. Суворова, 18</t>
  </si>
  <si>
    <t>ПМП "Люкс"</t>
  </si>
  <si>
    <t>Тернопільська обл., м.Бережани, вул.Набережна, р.Золота Липа</t>
  </si>
  <si>
    <t>ПП "Маяк"</t>
  </si>
  <si>
    <t>Жабинецька ГЕС</t>
  </si>
  <si>
    <t>Жабинецька ГЕС, Хмельницька обл., Чемеровецький р-н, с. Жабинці</t>
  </si>
  <si>
    <t>Кочубіївська ГЕС</t>
  </si>
  <si>
    <t>Кочубіївська ГЕС,</t>
  </si>
  <si>
    <t>Красноставці ГЕС</t>
  </si>
  <si>
    <t>Красноставці ГЕС,</t>
  </si>
  <si>
    <t>Рихта ГЕС</t>
  </si>
  <si>
    <t>Рихта ГЕС, Хмельницька обл., Камянець-Подільський р-н, с.Рихта на річці Жванчик</t>
  </si>
  <si>
    <t>PROB1HPP</t>
  </si>
  <si>
    <t>Фізична особа-підприємець Миронюк Валерій Володимирович</t>
  </si>
  <si>
    <t>Пробійнівська ГЕС</t>
  </si>
  <si>
    <t>Пробійнівська ГЕС, Івано-Франківська обл., Верховинський р-н, с. Пробійнівка</t>
  </si>
  <si>
    <t>PROB2HPP</t>
  </si>
  <si>
    <t>Пробійнівська ГЕС № 2</t>
  </si>
  <si>
    <t>Пробійнівська ГЕС № 2, Івано-Франківська обл., Верховинський р-н, с. Пробійнівка</t>
  </si>
  <si>
    <t>ПП "Новітня Енергія України"</t>
  </si>
  <si>
    <t>ГЕС Шуми</t>
  </si>
  <si>
    <t>ГЕС Шуми, Вінницька обл., Крижопільський р-н, с.Шуми, вул.Котовського, 38а</t>
  </si>
  <si>
    <t>BODNARHPP</t>
  </si>
  <si>
    <t>Боднарівська ГЕС</t>
  </si>
  <si>
    <t>Боднарівська ГЕС, Хмельницька обл., на р. Збруч</t>
  </si>
  <si>
    <t>VELKYZHPP</t>
  </si>
  <si>
    <t>Великокужелівська ГЕС</t>
  </si>
  <si>
    <t>Великокужелівська ГЕС, Хмельницька обл., на р. Ушиця</t>
  </si>
  <si>
    <t>HORDHPP</t>
  </si>
  <si>
    <t>Гордашівська ГЕС</t>
  </si>
  <si>
    <t>Гордашівська ГЕС, Черкаська обл., Тальнівський р., на р. Гірський Тікіч</t>
  </si>
  <si>
    <t>ZVENHPP</t>
  </si>
  <si>
    <t>Звенигородська ГЕС</t>
  </si>
  <si>
    <t>Звенигородська ГЕС, Черкаська обл., на р. Гнилий Тікіч</t>
  </si>
  <si>
    <t>KORSMHPP</t>
  </si>
  <si>
    <t>Коржівська ГЕС</t>
  </si>
  <si>
    <t>Коржівська ГЕС, Хмельницька обл., на р. Случ</t>
  </si>
  <si>
    <t>KOROPHPP</t>
  </si>
  <si>
    <t>Коропецька ГЕС</t>
  </si>
  <si>
    <t>Коропецька ГЕС, Тернопільська обл., Монастирський р., на р. Коропець</t>
  </si>
  <si>
    <t>KORSHPP</t>
  </si>
  <si>
    <t>Корсунь-Шевченківська ГЕС</t>
  </si>
  <si>
    <t>Корсунь-Шевченківська ГЕС, Черкаська обл., Корсунь-Шевченківський р-н, на р. Рось</t>
  </si>
  <si>
    <t>Корсунь-Шевченківська міні ГЕС</t>
  </si>
  <si>
    <t>Корсунь-Шевченківська міні ГЕС, Черкаська обл., Корсунь- Шевченківський р., на р. Рось</t>
  </si>
  <si>
    <t>LOTHPP</t>
  </si>
  <si>
    <t>Лоташівська ГЕС</t>
  </si>
  <si>
    <t>Лоташівська ГЕС, Черкаська обл., Тальнівський р-н, с. Лоташеве, вул. Кірова, 17а</t>
  </si>
  <si>
    <t>Новокостянтинівська ГЕС</t>
  </si>
  <si>
    <t>Новокостянтинівська ГЕС, Хмельницька обл., на р. П.Буг</t>
  </si>
  <si>
    <t>SANDHPP</t>
  </si>
  <si>
    <t>Сандрацька ГЕС</t>
  </si>
  <si>
    <t>Сандрацька ГЕС, Вінницька обл., Хмільникський р-н, р. П.Буг</t>
  </si>
  <si>
    <t>STEBLHPP</t>
  </si>
  <si>
    <t>Стеблівська ГЕС</t>
  </si>
  <si>
    <t>Стеблівська ГЕС, Черкаська обл., Корсунь-Шевченківський р-н, на р. Рось</t>
  </si>
  <si>
    <t>YABHPP</t>
  </si>
  <si>
    <t>Яблуницька ГЕС</t>
  </si>
  <si>
    <t>Яблуницька ГЕС, Чернівецька обл., Путильський р-н, с. Яблуниця</t>
  </si>
  <si>
    <t>ZBRHPP</t>
  </si>
  <si>
    <t>Збручська ГЕС</t>
  </si>
  <si>
    <t>Збручська ГЕС, Хмельницька обл., Чемеровецький р-н, с.Боднарівка, вул. Енергетиків, 17</t>
  </si>
  <si>
    <t>SARHPP</t>
  </si>
  <si>
    <t>ГЕС "Сарата"</t>
  </si>
  <si>
    <t>ГЕС "Сарата", Чернівецька обл., Путильський р-н, с.Сарата, вул.Карпатська, 19-а</t>
  </si>
  <si>
    <t>ТОВ "Нью Енерджи"</t>
  </si>
  <si>
    <t>ГЕС, Вінницька обл., Чернівецький р-н, с.Саїнка, вул. Копецького, 76</t>
  </si>
  <si>
    <t>ТОВ "Ос-Нова"</t>
  </si>
  <si>
    <t>Чортківська ГЕС</t>
  </si>
  <si>
    <t>Чортківська ГЕС, Тернопільська обл., м.Чортків, вул.Білецька, буд. 2-в</t>
  </si>
  <si>
    <t>BILOUSIVKAHPP</t>
  </si>
  <si>
    <t>ТОВ "ПОДІЛЬСЬКА ЕНЕРГЕТИЧНА КОМПАНІЯ"</t>
  </si>
  <si>
    <t>Білоусівська ГЕС</t>
  </si>
  <si>
    <t>Білоусівська ГЕС, Вінницька обл., Тульчинський р-н, с. Білоусівка, вул. Леніна, 138а</t>
  </si>
  <si>
    <t>BRAILOVHPP</t>
  </si>
  <si>
    <t>Браїлівська ГЕС</t>
  </si>
  <si>
    <t>Браїлівська ГЕС,Вінницька обл., Жмеринський р-н, смт Браїлів, вул. Космонавтів, 9а</t>
  </si>
  <si>
    <t>GUTYHPP</t>
  </si>
  <si>
    <t>Гутівська ГЕС</t>
  </si>
  <si>
    <t>Гутівська ГЕС, Вінницька обл., Тульчинський р-н, с. Гути, вул. Леніна, 1б</t>
  </si>
  <si>
    <t>K-BHPP</t>
  </si>
  <si>
    <t>Кам’янобрідська ГЕС</t>
  </si>
  <si>
    <t>Кам’янобрідська ГЕС, Черкаська обл., Лисянський р-н, с. Кам’яний Брід, вул. М.Грушевського, 22а</t>
  </si>
  <si>
    <t>POLITANHPP</t>
  </si>
  <si>
    <t>Політанківська ГЕС</t>
  </si>
  <si>
    <t>Політанківська ГЕС, Вінницька обл., Шаргородський р-н, с. Політанки, вул. Шевченка, 8</t>
  </si>
  <si>
    <t>TURBHPP</t>
  </si>
  <si>
    <t>Трубіївська ГЕС</t>
  </si>
  <si>
    <t>Трубіївська ГЕС, Житомирська обл., Ружинський р-н, с. Трубіївка, вул. Шевченка, 1</t>
  </si>
  <si>
    <t>VKHPP</t>
  </si>
  <si>
    <t>Великокиріївська ГЕС</t>
  </si>
  <si>
    <t xml:space="preserve">Бершадський </t>
  </si>
  <si>
    <t>с. Велика Киріївка, вул. Шевченка, 38а</t>
  </si>
  <si>
    <t>CHAPHPP</t>
  </si>
  <si>
    <t>Чапаєвська ГЕС</t>
  </si>
  <si>
    <t>с. Війтівка, вул. Жовтнева, 274</t>
  </si>
  <si>
    <t>ТОВ "Порода"</t>
  </si>
  <si>
    <t>с.Березівка, вул.Прибережна, 1-Б (Петровського) на р.Мурашка</t>
  </si>
  <si>
    <t>LIUBHPP</t>
  </si>
  <si>
    <t>ТОВ "Райенерго"</t>
  </si>
  <si>
    <t>Любарська ГЕС</t>
  </si>
  <si>
    <t>Любарський</t>
  </si>
  <si>
    <t>смт Любар, вул. Кірова, 19</t>
  </si>
  <si>
    <t>PEDYNHPP</t>
  </si>
  <si>
    <t>Пединківська ГЕС</t>
  </si>
  <si>
    <t>с. Пединка, вул. Польова, 1</t>
  </si>
  <si>
    <t>ТОВ "Ренер"</t>
  </si>
  <si>
    <t>ГЕС, Закарпатська обл., Тячівський р-н, с.Руська Мокра, на р.Яновець</t>
  </si>
  <si>
    <t>ТОВ «РЕСУРСЕКОЕНЕРГО»:</t>
  </si>
  <si>
    <t>ГЕС на р. Случ</t>
  </si>
  <si>
    <t>ГЕС на р. Случ, Старокостянтинівського р-н, Хмельницької області, с. Самчики</t>
  </si>
  <si>
    <t>ГЕС на р. Случ, Старокостянтинівського р-н, Хмельницької області, с. Губин</t>
  </si>
  <si>
    <t>ТОВ "Сайенс Інновейшн Продакшн"</t>
  </si>
  <si>
    <t>м. Баранівка за межами населеного пункту</t>
  </si>
  <si>
    <t>ТзОВ "Сатанів Гідро"</t>
  </si>
  <si>
    <t>Сатанівська ГЕС</t>
  </si>
  <si>
    <t>м.Сатанів, вул.Заводська, 19</t>
  </si>
  <si>
    <t>ТОВ "Свободна Енергія"</t>
  </si>
  <si>
    <t>с.Рудня-Городище, вул. Федора Терещенка, 8в</t>
  </si>
  <si>
    <t>ТОВ "Сібекс"</t>
  </si>
  <si>
    <t>П"ятничанська ГЕС</t>
  </si>
  <si>
    <t>с.П"ятничани, на р.Збруч</t>
  </si>
  <si>
    <t>Ніверка ГЕС</t>
  </si>
  <si>
    <t>Кам"янець-Подільський</t>
  </si>
  <si>
    <t>с.Ніверка</t>
  </si>
  <si>
    <t>ВАТ "Сумиобленерго"</t>
  </si>
  <si>
    <t>ТОВ "Топольки"</t>
  </si>
  <si>
    <t>Топольківська ГЕС</t>
  </si>
  <si>
    <t>м. Бучач, вул. Шевченка, 14</t>
  </si>
  <si>
    <t>ТОВ "Український енергетичний розвиток"</t>
  </si>
  <si>
    <t>Голуб’ятинська ГЕС</t>
  </si>
  <si>
    <t>Попільнянський</t>
  </si>
  <si>
    <t>с. Голуб’ятин, вул. Леніна, 31</t>
  </si>
  <si>
    <t>Лопатицька ГЕС</t>
  </si>
  <si>
    <t>Олевський</t>
  </si>
  <si>
    <t>с. Лопатичи, вул. Гагаріна, 1в</t>
  </si>
  <si>
    <t>Троянівська ГЕС</t>
  </si>
  <si>
    <t>с. Троянів, вул. Довгалівка, 98</t>
  </si>
  <si>
    <t>ТОВ "Укргідро 2009"</t>
  </si>
  <si>
    <t>Уладівська ГЕС</t>
  </si>
  <si>
    <t xml:space="preserve"> на р.Південний Буг, с.Уладівка, вул. Заводське урочище, буд.1</t>
  </si>
  <si>
    <t>ПП "Укрелектробуд"</t>
  </si>
  <si>
    <t>с. Красна, на р. Красна</t>
  </si>
  <si>
    <t>ПП "Укрінвестенерго"</t>
  </si>
  <si>
    <t>ГЕС, Хмельницька обл., м. Ізяслав, вул. Грушевського</t>
  </si>
  <si>
    <t>ТОВ "Укртрансрейл"</t>
  </si>
  <si>
    <t>Хрінницька ГЕС</t>
  </si>
  <si>
    <t>Демидівський</t>
  </si>
  <si>
    <t>с. Хрінники</t>
  </si>
  <si>
    <t>Чортийська ГЕС</t>
  </si>
  <si>
    <t>с.Стара Чортория, вул. Леніна, буд. 2 а</t>
  </si>
  <si>
    <t>ПП "Шевчук і КО"</t>
  </si>
  <si>
    <t>Липовецька ГЕС</t>
  </si>
  <si>
    <t>Липовецький</t>
  </si>
  <si>
    <t>м. Липовець</t>
  </si>
  <si>
    <t>вул.Затишна, 1</t>
  </si>
  <si>
    <t>ТОВ "Чуднівська ГЕС"</t>
  </si>
  <si>
    <t>Чуднівська ГЕС</t>
  </si>
  <si>
    <t>смт Чуднів</t>
  </si>
  <si>
    <t>ФОП БОЙКО ЄВГЕН ЛЕОНІДОВИЧ</t>
  </si>
  <si>
    <t xml:space="preserve">Сальківська ГЕС </t>
  </si>
  <si>
    <t>смт Салькове</t>
  </si>
  <si>
    <t>вул. Річна, буд. 6</t>
  </si>
  <si>
    <t>ПМП «ЛЮКС»</t>
  </si>
  <si>
    <t>Тернопільський</t>
  </si>
  <si>
    <t>с. Мишковичі</t>
  </si>
  <si>
    <t xml:space="preserve">вул. Братів Іванютів, 56 </t>
  </si>
  <si>
    <t xml:space="preserve">ТОВ «ПОЛТАВА ГІДРО» </t>
  </si>
  <si>
    <t>с. Горбанівка</t>
  </si>
  <si>
    <t>вул. Набережна, буд. 99</t>
  </si>
  <si>
    <t>ТОВ «ОС-НОВА»</t>
  </si>
  <si>
    <t xml:space="preserve">Великогаївська ГЕС </t>
  </si>
  <si>
    <t>с. Дичків</t>
  </si>
  <si>
    <t xml:space="preserve">вул. М. Демидася, буд. </t>
  </si>
  <si>
    <t>ТОВ «ЕНЕРГОІНВЕСТ»</t>
  </si>
  <si>
    <t>Вижницький</t>
  </si>
  <si>
    <t>с. Іспас</t>
  </si>
  <si>
    <t>вул. Кармелюка, буд. 6-а</t>
  </si>
  <si>
    <t>ТОВ «РЕНЕР»</t>
  </si>
  <si>
    <t>Рахівський</t>
  </si>
  <si>
    <t>с. Костилівка</t>
  </si>
  <si>
    <t>вул. Заводська, 34-а</t>
  </si>
  <si>
    <t>вул. Заводська, 34-б</t>
  </si>
  <si>
    <t>ТОВ «ГІДРОЕНЕРГОРЕСУРС»</t>
  </si>
  <si>
    <t>Тетіївський</t>
  </si>
  <si>
    <t>с. Кашперівка</t>
  </si>
  <si>
    <t>вул. Київська, 100</t>
  </si>
  <si>
    <t>ТОВ «ГІДРОЕНЕРГОІНВЕСТ»</t>
  </si>
  <si>
    <t>ГЕС «Орлове»</t>
  </si>
  <si>
    <t>с. Орлове</t>
  </si>
  <si>
    <t>вул. Садова, 2-а</t>
  </si>
  <si>
    <t>ГЕС «Велика Багачка»</t>
  </si>
  <si>
    <t>Великобагачанський</t>
  </si>
  <si>
    <t>смт Велика Багачка</t>
  </si>
  <si>
    <t>вул. 1 Травня, 41</t>
  </si>
  <si>
    <t xml:space="preserve">ТОВ «ГІДРО-ІНВЕСТ» </t>
  </si>
  <si>
    <t>Білоцерківський</t>
  </si>
  <si>
    <t>с. Глибочка</t>
  </si>
  <si>
    <t>вул. Сіркова, 42</t>
  </si>
  <si>
    <t>ПРАТ «РІВНЕВТОРМЕТ»</t>
  </si>
  <si>
    <t>Костопільський</t>
  </si>
  <si>
    <t>с. Велика Любаша</t>
  </si>
  <si>
    <t>вул. Шевченка, 2 а</t>
  </si>
  <si>
    <t>ТОВ «НЬЮ ЕНЕРДЖИ»</t>
  </si>
  <si>
    <t>с. Дорошівка</t>
  </si>
  <si>
    <t>вул. Б. Хмельницького, 46</t>
  </si>
  <si>
    <t>ТОВ «УКРБІОПРОМПОСТАЧ»</t>
  </si>
  <si>
    <t>Матюшівська ГЕС</t>
  </si>
  <si>
    <t>с. Матюші</t>
  </si>
  <si>
    <t xml:space="preserve"> вул. Я. Мудрого, буд. 2-б</t>
  </si>
  <si>
    <t>ТОВ «СЛАВГІДРО»</t>
  </si>
  <si>
    <t>ГЕС Хмельницька обл., м. Славута, вул. Хмельницького Богдана, буд. 144-Б)</t>
  </si>
  <si>
    <t>м. Севастополь</t>
  </si>
  <si>
    <t>АРК</t>
  </si>
  <si>
    <t>Всього</t>
  </si>
  <si>
    <t>Усього</t>
  </si>
  <si>
    <t>№</t>
  </si>
  <si>
    <t>Підтип</t>
  </si>
  <si>
    <t>Біомаса(ООС)</t>
  </si>
  <si>
    <t>Обсяг встановленої потужності об'єктів ВДЕ в ОЕС України за "зеленим" тарифом</t>
  </si>
  <si>
    <t>ОРДЛО</t>
  </si>
  <si>
    <t>Окуповані території</t>
  </si>
  <si>
    <t>СЕС(ООС)</t>
  </si>
  <si>
    <t>Біогаз(ООС)</t>
  </si>
  <si>
    <t>Загалом</t>
  </si>
  <si>
    <t>Більше 2000 кВт</t>
  </si>
  <si>
    <t>введені в експлуатацію до 31.12.2014</t>
  </si>
  <si>
    <t xml:space="preserve">від 600 до 2000 кВт </t>
  </si>
  <si>
    <t>до 600 кВт</t>
  </si>
  <si>
    <t>введені в експлуатацію з 01.01.2015 по 31.12.2019</t>
  </si>
  <si>
    <t xml:space="preserve">Більше 2000 кВт </t>
  </si>
  <si>
    <t>СЕС наземні</t>
  </si>
  <si>
    <t>введені в експлуатацію до 01.04.2013</t>
  </si>
  <si>
    <t>введені в експлуатацію з 01.04.2013 по 31.12.2014</t>
  </si>
  <si>
    <t>введені в експлуатацію з 01.01.2015 по 30.06.2015</t>
  </si>
  <si>
    <t>введені в експлуатацію з 01.07.2015 по 31.12.2015</t>
  </si>
  <si>
    <t>введені в експлуатацію з 01.01.2016 по 31.12.2016</t>
  </si>
  <si>
    <t>введені в експлуатацію з 01.01.2017 по 31.12.2019</t>
  </si>
  <si>
    <t>СЕС наземні (величина встановленої потужності яких перевищує 10 МВт)</t>
  </si>
  <si>
    <t>СЕС дахові/ фасадні більше 100 кВт</t>
  </si>
  <si>
    <t>СЕС дахові/ фасадні до 100 кВт</t>
  </si>
  <si>
    <t>введені в експлуатацію після 01.04.2013 по 31.12.2014</t>
  </si>
  <si>
    <t>введені в експлуатацію після 01.01.2015 по 30.06.2015</t>
  </si>
  <si>
    <t>СЕС дахові/ фасадні (введені в експлуатацію з 01.07.2015)</t>
  </si>
  <si>
    <t>введені в експлуатацію з 01.07.2015 по 31.12.2019</t>
  </si>
  <si>
    <t>Мікро-, Міні-, МаліГЕС</t>
  </si>
  <si>
    <t>МініГЕС</t>
  </si>
  <si>
    <t>Мікро ГЕС</t>
  </si>
  <si>
    <t xml:space="preserve"> введені в експлуатацію з 01.01.2015 по 31.12.2019</t>
  </si>
  <si>
    <t>МаліГЕС</t>
  </si>
  <si>
    <t>Геотермальна</t>
  </si>
  <si>
    <t>з 01.07.2015 по 31.12.2019</t>
  </si>
  <si>
    <t>Column1</t>
  </si>
  <si>
    <t>Інвестор</t>
  </si>
  <si>
    <t>Країна</t>
  </si>
  <si>
    <t>Guris</t>
  </si>
  <si>
    <t>Windcraft</t>
  </si>
  <si>
    <t>Швеція</t>
  </si>
  <si>
    <t>NBT</t>
  </si>
  <si>
    <t>Норвегія</t>
  </si>
  <si>
    <t>Україна</t>
  </si>
  <si>
    <t>ДТЕК ВДЕ</t>
  </si>
  <si>
    <t>Потужність</t>
  </si>
  <si>
    <t>Частка</t>
  </si>
  <si>
    <t>Зелений тариф</t>
  </si>
  <si>
    <t>Розподіл встановленої потужності об'єктів СЕС</t>
  </si>
  <si>
    <t>Розподіл згенерованої електроенергії за 2018 рік</t>
  </si>
  <si>
    <t>Зелений тариф, Єц</t>
  </si>
  <si>
    <t>до 20 Єц</t>
  </si>
  <si>
    <t>Менше 20 Єц</t>
  </si>
  <si>
    <t>ТОВ «САНДАГ»</t>
  </si>
  <si>
    <t>Дата введення в експлуатацію</t>
  </si>
  <si>
    <t xml:space="preserve">ТОВ «САНМАНЕЙ» </t>
  </si>
  <si>
    <t>Дах</t>
  </si>
  <si>
    <t>Земля</t>
  </si>
  <si>
    <t>Відсоток Розподілу</t>
  </si>
  <si>
    <t>Пустомитівський</t>
  </si>
  <si>
    <t>Галицький</t>
  </si>
  <si>
    <t>м.Херсон</t>
  </si>
  <si>
    <t>Богородчанський</t>
  </si>
  <si>
    <t>Києво-Святошинський</t>
  </si>
  <si>
    <t>м.Жмеринка</t>
  </si>
  <si>
    <t>м.Бориспіль</t>
  </si>
  <si>
    <t>Арбузинський</t>
  </si>
  <si>
    <t>ККД</t>
  </si>
  <si>
    <t>Деградація СЕС</t>
  </si>
  <si>
    <t>дСЕС</t>
  </si>
  <si>
    <t>Всього Зелений тариф</t>
  </si>
  <si>
    <t>Встановлена потужність</t>
  </si>
  <si>
    <t>Кількість</t>
  </si>
  <si>
    <t>ТОВ «СУХОВОЛЯ ЕНЕРГІЯ»</t>
  </si>
  <si>
    <t>ТОВ «ЕКОПРОМ-СЕРВІС»</t>
  </si>
  <si>
    <t xml:space="preserve">ТОВ «ПОДІЛЬСЬК ГРІН ЕНЕРДЖІ» </t>
  </si>
  <si>
    <t>ФГ «ВІРА ПЛЮС»</t>
  </si>
  <si>
    <t>ТОВ «ДНІСТЕР-ЕЛЕКТРО»</t>
  </si>
  <si>
    <t xml:space="preserve">ТОВ «РЕД ФОРЕСТ» </t>
  </si>
  <si>
    <t>ТОВ «САДЖІВКА»</t>
  </si>
  <si>
    <t>ТОВ «ВІННЕР СОЛАР»</t>
  </si>
  <si>
    <t>ТОВ «ГАЗТРОН ТРЕЙД»</t>
  </si>
  <si>
    <t xml:space="preserve">ТОВ СП «КАМ’ЯНСЬКЕ» </t>
  </si>
  <si>
    <t>ТОВ «КД ЕНЕРДЖІ 2»</t>
  </si>
  <si>
    <t>ТОВ «БЛЮМЕНТАЛЬ»</t>
  </si>
  <si>
    <t>ТОВ «МАКС ЛАЙТ»</t>
  </si>
  <si>
    <t>ТОВ «ТЕПЛОЕНЕРГО СЕРВІС</t>
  </si>
  <si>
    <t>ТОВ «Ю.БІС.ЕНЕРДЖІ»</t>
  </si>
  <si>
    <t xml:space="preserve">  1-5</t>
  </si>
  <si>
    <t xml:space="preserve"> 5-10</t>
  </si>
  <si>
    <t xml:space="preserve"> 10-50</t>
  </si>
  <si>
    <t>%</t>
  </si>
  <si>
    <t xml:space="preserve"> &lt;1</t>
  </si>
  <si>
    <t>&gt;50</t>
  </si>
  <si>
    <t>Кількість об'єктів (черг), од</t>
  </si>
  <si>
    <t>Суб'єкт господарювання</t>
  </si>
  <si>
    <t>Об'єкти ВДЕ введені в експлуатацію до 01.07.2015</t>
  </si>
  <si>
    <t>Розподіл встановленої потужності об'єктів ВДЕ</t>
  </si>
  <si>
    <t xml:space="preserve">ТОВ «СОНЯЧНА ЕНЕРГІЯ СОЛОБКІВЦІ» </t>
  </si>
  <si>
    <t>ТОВ «ХМЕЛЬНИЦЬКА ЕНЕРГЕТИЧНА КОМПАНІЯ»</t>
  </si>
  <si>
    <t xml:space="preserve">ТОВ «ЕТГ СОЛАР 6» </t>
  </si>
  <si>
    <t>ТОВ «УКРЕНЕРГОМЕНЕДЖМЕНТ»</t>
  </si>
  <si>
    <t>ДП «НАФТОГАЗ-ЕНЕРГОСЕРВІС» НАЦІОНАЛЬНОЇ АКЦІОНЕРНОЇ КОМПАНІЇ «НАФТОГАЗ УКРАЇНИ»</t>
  </si>
  <si>
    <t>ТОВ «ЕНЕРГЕЙН»</t>
  </si>
  <si>
    <t>ТОВ «КОНСТАНТ ЕНЕРДЖИ»</t>
  </si>
  <si>
    <t>ТОВ «ТД СВІТЛОТЕХНІКА»</t>
  </si>
  <si>
    <t>ТОВ «СОЛАР ПЛАНЕС»</t>
  </si>
  <si>
    <t>ТОВ «СОНЯЧНА ЕНЕРГІЯ УКРАЇНИ»</t>
  </si>
  <si>
    <t>ТОВ «ЗАПОРІЗЬКА ГІДРОЕНЕРГЕТИЧНА КОМПАНІЯ»</t>
  </si>
  <si>
    <t>ТОВ «САН ВОЛЬТ»</t>
  </si>
  <si>
    <t>Бенефіціар</t>
  </si>
  <si>
    <t>Єфімов</t>
  </si>
  <si>
    <t>Ахметов</t>
  </si>
  <si>
    <t>Карл Стурен</t>
  </si>
  <si>
    <t>Еко Оптіма</t>
  </si>
  <si>
    <t>Козицький</t>
  </si>
  <si>
    <t>ТОВ«РЕНДЖИ ЗАПОРІЖЖЯ»</t>
  </si>
  <si>
    <t>Нурек</t>
  </si>
  <si>
    <t>Гордієнко</t>
  </si>
  <si>
    <t>VR Capital</t>
  </si>
  <si>
    <t>Британія</t>
  </si>
  <si>
    <t>РІЧАРД А. ДЕЙТС</t>
  </si>
  <si>
    <t>Хрипков</t>
  </si>
  <si>
    <t>США</t>
  </si>
  <si>
    <t>CNBM</t>
  </si>
  <si>
    <t>Китай</t>
  </si>
  <si>
    <t>Рєпкін</t>
  </si>
  <si>
    <t>Scatec Solar</t>
  </si>
  <si>
    <t>Тинний</t>
  </si>
  <si>
    <t>ТОВ «РЕСУРСЕКОЕНЕРГО»</t>
  </si>
  <si>
    <t>Acciona Energia</t>
  </si>
  <si>
    <t>Іспанія</t>
  </si>
  <si>
    <t>TIU Canada</t>
  </si>
  <si>
    <t>Канада</t>
  </si>
  <si>
    <t>Better Energy</t>
  </si>
  <si>
    <t>Данія</t>
  </si>
  <si>
    <t>UDP Renewables</t>
  </si>
  <si>
    <t>Upgrade Energy</t>
  </si>
  <si>
    <t>Бельгія</t>
  </si>
  <si>
    <t>Виходцев</t>
  </si>
  <si>
    <t>Фокстрот</t>
  </si>
  <si>
    <t>Еко оптіма</t>
  </si>
  <si>
    <t>Грінвіль</t>
  </si>
  <si>
    <t>Васильєв</t>
  </si>
  <si>
    <t>Єлісєєв</t>
  </si>
  <si>
    <t>Рева</t>
  </si>
  <si>
    <t>Згривець</t>
  </si>
  <si>
    <t>Компанія Фас Енергетична</t>
  </si>
  <si>
    <t>Саудівська Аравія</t>
  </si>
  <si>
    <t>Клін Солар Пауер (Iстерн Юереп) Лімітед</t>
  </si>
  <si>
    <t>Компанія З Обмеженою Відповідальністю "Уг Пауер"</t>
  </si>
  <si>
    <t>Гаєвой (Аваков)</t>
  </si>
  <si>
    <t>Кд Енерджі Холдінг Лімітед</t>
  </si>
  <si>
    <t>Ей Холдінг Лтд (A Holding Ltd)</t>
  </si>
  <si>
    <t>Уго Кастільйо</t>
  </si>
  <si>
    <t>Беліз</t>
  </si>
  <si>
    <t>Енерджі Трейд Груп</t>
  </si>
  <si>
    <t>Єлілєєв</t>
  </si>
  <si>
    <t>Хоруженко</t>
  </si>
  <si>
    <t>Векірчик</t>
  </si>
  <si>
    <t>Kness</t>
  </si>
  <si>
    <t>Кушнір</t>
  </si>
  <si>
    <t>Кіпр</t>
  </si>
  <si>
    <t>Українські Системи Солар</t>
  </si>
  <si>
    <t>Бондаренко</t>
  </si>
  <si>
    <t>Хілько</t>
  </si>
  <si>
    <t>Попова</t>
  </si>
  <si>
    <t>Маврикій</t>
  </si>
  <si>
    <t>Бікалеа Холдінгз Лтд</t>
  </si>
  <si>
    <t>Дрозд</t>
  </si>
  <si>
    <t>Пинзеник</t>
  </si>
  <si>
    <t>Тунжер</t>
  </si>
  <si>
    <t>Туреччина</t>
  </si>
  <si>
    <t>Ліберман</t>
  </si>
  <si>
    <t>Німеччина</t>
  </si>
  <si>
    <t>Тахтай</t>
  </si>
  <si>
    <t>Модус Енерджі Інтернешнл Б.в.</t>
  </si>
  <si>
    <t>Литва</t>
  </si>
  <si>
    <t>Кузьменко</t>
  </si>
  <si>
    <t>Кузнецов</t>
  </si>
  <si>
    <t>Гаєвой</t>
  </si>
  <si>
    <t>Ретерія Інвестментс Лімітед</t>
  </si>
  <si>
    <t>Джи Ес Інжиніринг Енд Констракшн Корп.</t>
  </si>
  <si>
    <t>Прокопів</t>
  </si>
  <si>
    <t>Джейбіджі &amp; Ко Діемсісі</t>
  </si>
  <si>
    <t>Індія</t>
  </si>
  <si>
    <t>Павленко</t>
  </si>
  <si>
    <t>Суходольський</t>
  </si>
  <si>
    <t>Солар Грін Технолоджі</t>
  </si>
  <si>
    <t>Майоров</t>
  </si>
  <si>
    <t>ЧЕТІНДЖЕВІЗ ІСХАН</t>
  </si>
  <si>
    <t>МАРІНУ МАРІНОС</t>
  </si>
  <si>
    <t>Модус Енерджі Інтернешнл Б.в</t>
  </si>
  <si>
    <t>Гончар</t>
  </si>
  <si>
    <t>ДІРЕКЧІ ДЖЕМІЛ</t>
  </si>
  <si>
    <t>Акціонерне Товариство "Фінанс Реал"</t>
  </si>
  <si>
    <t>Угорщина</t>
  </si>
  <si>
    <t>Ат "Нордале Трейдінг Девелопмент"</t>
  </si>
  <si>
    <t>ЛІ ХУАНЬ</t>
  </si>
  <si>
    <t xml:space="preserve">Клін Солар Пауер (Iстерн Юереп) </t>
  </si>
  <si>
    <t>Ат "Фінанс Реал"</t>
  </si>
  <si>
    <t>овариство З Обмеженою Відповідальністю "Емсолт Солар Енерджі"</t>
  </si>
  <si>
    <t>Качанов</t>
  </si>
  <si>
    <t>Акціонерне Товариство "Оздогу Сарп Іншаат Маденджілік Турізм Ташимаджилик Ве Тіджарет"</t>
  </si>
  <si>
    <t xml:space="preserve"> 
Кавак Мурат</t>
  </si>
  <si>
    <t>Бутенко</t>
  </si>
  <si>
    <t>Компанія Юкрейн Реньювабл Енерджі Холдингз Урех Лімітед (Ukraine Renewable Energy Holdings Ureh Limited)</t>
  </si>
  <si>
    <t>Краснов</t>
  </si>
  <si>
    <t>Еко оптіма (Козицький)</t>
  </si>
  <si>
    <t>Виходцев (Фокстрот)</t>
  </si>
  <si>
    <t>% володіння</t>
  </si>
  <si>
    <t>МХП</t>
  </si>
  <si>
    <t>Косюк</t>
  </si>
  <si>
    <t>Косюк (МХП)</t>
  </si>
  <si>
    <t>серед СЕС</t>
  </si>
  <si>
    <t>серед ВЕС</t>
  </si>
  <si>
    <t>серед Біо</t>
  </si>
  <si>
    <t>серед мГЕС</t>
  </si>
  <si>
    <t>Власник(інвестор)</t>
  </si>
  <si>
    <t>Визначені об'єкти</t>
  </si>
  <si>
    <t>Встановлена потужність, МВт</t>
  </si>
  <si>
    <t>Інформація стосовно власників об'єктів ВДЕ на території України</t>
  </si>
  <si>
    <t xml:space="preserve">ТОВ «ГРІН СОЛАР» </t>
  </si>
  <si>
    <t xml:space="preserve">ТОВ «ЕНЕРГІЯ-АКТИВ 2018» </t>
  </si>
  <si>
    <t>ТОВ «СИВАШЕНЕРГОПРОМ»</t>
  </si>
  <si>
    <t>ТОВ «ФОТОН ПРО-ПЛЮС»</t>
  </si>
  <si>
    <t>Виробники</t>
  </si>
  <si>
    <t>Споживачі</t>
  </si>
  <si>
    <t>Частка Ахметова</t>
  </si>
  <si>
    <t>Встановлена потужність ВДЕ в Україні, МВт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</si>
  <si>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</si>
  <si>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</si>
  <si>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</si>
  <si>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</si>
  <si>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</si>
  <si>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</si>
  <si>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</si>
  <si>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</si>
  <si>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</si>
  <si>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</si>
  <si>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</si>
  <si>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</si>
  <si>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К</t>
  </si>
  <si>
    <t xml:space="preserve">КВВП </t>
  </si>
  <si>
    <t>Факт станом на зараз</t>
  </si>
  <si>
    <t>Приріст Зелений тариф pre-PPA</t>
  </si>
  <si>
    <t>Квоти Аукціони</t>
  </si>
  <si>
    <t>Всього встановлена потужність ВДЕ</t>
  </si>
  <si>
    <t>Всього Аукціони</t>
  </si>
  <si>
    <t xml:space="preserve">Генерація за "зеленим" тарифом </t>
  </si>
  <si>
    <t>Генерація за аукціонною ціною</t>
  </si>
  <si>
    <t>Генерація з ВДЕ загалом</t>
  </si>
  <si>
    <t>Очікуване виробництво ЕСУ</t>
  </si>
  <si>
    <t>Різниця</t>
  </si>
  <si>
    <t>Генерація ВДЕ</t>
  </si>
  <si>
    <t>% ВДЕ</t>
  </si>
  <si>
    <t>Виробництво загалом</t>
  </si>
  <si>
    <t>Сценарій ЕСУ виробництво+%</t>
  </si>
  <si>
    <t>Сценарій ЕСУ виробництво ВДЕ</t>
  </si>
  <si>
    <t>ВДЕ</t>
  </si>
  <si>
    <t>Максимальний показник серед опцій</t>
  </si>
  <si>
    <t>Виробництво електроенергії</t>
  </si>
  <si>
    <t>План розвитку системи передачі</t>
  </si>
  <si>
    <t>Мін</t>
  </si>
  <si>
    <t>Макс</t>
  </si>
  <si>
    <t>Звіт з оцінки</t>
  </si>
  <si>
    <t xml:space="preserve">  2021-2025 - 300 400</t>
  </si>
  <si>
    <t xml:space="preserve">  2026-2029 - 400 500</t>
  </si>
  <si>
    <t>Звіт з оцінки відповідності достатності генеруючих потужностей</t>
  </si>
  <si>
    <t>Електроспоживання (брутто) мін</t>
  </si>
  <si>
    <t>Електроспоживання (брутто) макс</t>
  </si>
  <si>
    <t>Очікув ПБ</t>
  </si>
  <si>
    <t>Виробництво ПБ</t>
  </si>
  <si>
    <t>Варіант План розвитку системи передачі і 25%</t>
  </si>
  <si>
    <t>Великі ГЕС</t>
  </si>
  <si>
    <t>Генерація ВДЕ відповідно до ЕСУ</t>
  </si>
  <si>
    <t>Структура генерації</t>
  </si>
  <si>
    <t>Структура потужності</t>
  </si>
  <si>
    <t>Сумарно інші</t>
  </si>
  <si>
    <t>Гроші</t>
  </si>
  <si>
    <t>Аукціонні ціни</t>
  </si>
  <si>
    <t>Інші</t>
  </si>
  <si>
    <t>CЕС</t>
  </si>
  <si>
    <t>Всього надбавка за "зелений" тариф</t>
  </si>
  <si>
    <t>Всього надбавка за аукціонну ціну</t>
  </si>
  <si>
    <t>Всього надбавка на реалізацію енергостратегії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</si>
</sst>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#,##0.0"/>
    <numFmt numFmtId="168" formatCode="0.0%"/>
    <numFmt numFmtId="169" formatCode="m/d/yyyy"/>
  </numFmts>
  <fonts count="16">
    <font>
      <sz val="10"/>
      <name val="Arial Cyr"/>
      <charset val="204"/>
    </font>
    <font>
      <sz val="10"/>
      <name val="Arial Cyr"/>
      <charset val="204"/>
    </font>
    <font>
      <sz val="10"/>
      <color theme="1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10"/>
      <name val="Arial Cyr"/>
      <charset val="1"/>
    </font>
    <font>
      <b/>
      <sz val="11"/>
      <name val="Arial Cyr"/>
      <charset val="1"/>
    </font>
    <font>
      <b/>
      <sz val="12"/>
      <name val="Arial Cyr"/>
      <charset val="1"/>
    </font>
    <font>
      <sz val="10"/>
      <color theme="0"/>
      <name val="Arial Cyr"/>
      <charset val="204"/>
    </font>
    <font>
      <b/>
      <sz val="12"/>
      <color theme="0"/>
      <name val="Arial Cyr"/>
      <charset val="1"/>
    </font>
    <font>
      <b/>
      <sz val="11"/>
      <color theme="1"/>
      <name val="Arial Cyr"/>
      <charset val="1"/>
    </font>
    <font>
      <sz val="9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6"/>
      <name val="Arial Cyr"/>
      <charset val="1"/>
    </font>
    <font>
      <sz val="11"/>
      <name val="Arial Cyr"/>
      <charset val="1"/>
    </font>
  </fonts>
  <fills count="2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A42EA"/>
        <bgColor indexed="64"/>
      </patternFill>
    </fill>
    <fill>
      <patternFill patternType="solid">
        <fgColor rgb="FFA75FF7"/>
        <bgColor indexed="64"/>
      </patternFill>
    </fill>
    <fill>
      <patternFill patternType="solid">
        <fgColor rgb="FF3BFF9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2" borderId="0" xfId="0" applyNumberFormat="1" applyFill="1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165" fontId="0" fillId="0" borderId="0" xfId="0" applyNumberFormat="1"/>
    <xf numFmtId="14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1" applyFont="1" applyFill="1"/>
    <xf numFmtId="165" fontId="0" fillId="3" borderId="0" xfId="0" applyNumberFormat="1" applyFill="1"/>
    <xf numFmtId="14" fontId="0" fillId="3" borderId="0" xfId="0" applyNumberFormat="1" applyFill="1" applyAlignment="1">
      <alignment wrapText="1"/>
    </xf>
    <xf numFmtId="14" fontId="0" fillId="2" borderId="0" xfId="0" applyNumberFormat="1" applyFill="1" applyAlignment="1">
      <alignment wrapText="1"/>
    </xf>
    <xf numFmtId="164" fontId="0" fillId="0" borderId="0" xfId="0" applyNumberFormat="1"/>
    <xf numFmtId="0" fontId="2" fillId="0" borderId="4" xfId="0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0" xfId="1" applyNumberFormat="1" applyFont="1"/>
    <xf numFmtId="0" fontId="0" fillId="0" borderId="2" xfId="0" applyBorder="1"/>
    <xf numFmtId="0" fontId="0" fillId="0" borderId="3" xfId="0" applyBorder="1"/>
    <xf numFmtId="164" fontId="0" fillId="4" borderId="0" xfId="0" applyNumberFormat="1" applyFill="1"/>
    <xf numFmtId="0" fontId="0" fillId="2" borderId="0" xfId="0" applyFill="1"/>
    <xf numFmtId="166" fontId="0" fillId="0" borderId="0" xfId="0" applyNumberFormat="1"/>
    <xf numFmtId="1" fontId="0" fillId="0" borderId="0" xfId="0" applyNumberFormat="1"/>
    <xf numFmtId="0" fontId="0" fillId="0" borderId="5" xfId="0" applyBorder="1"/>
    <xf numFmtId="167" fontId="0" fillId="0" borderId="5" xfId="0" applyNumberFormat="1" applyBorder="1"/>
    <xf numFmtId="0" fontId="0" fillId="2" borderId="6" xfId="0" applyFill="1" applyBorder="1"/>
    <xf numFmtId="0" fontId="4" fillId="2" borderId="6" xfId="0" applyFont="1" applyFill="1" applyBorder="1"/>
    <xf numFmtId="0" fontId="4" fillId="5" borderId="6" xfId="0" applyFont="1" applyFill="1" applyBorder="1"/>
    <xf numFmtId="0" fontId="4" fillId="6" borderId="6" xfId="0" applyFont="1" applyFill="1" applyBorder="1"/>
    <xf numFmtId="0" fontId="4" fillId="7" borderId="6" xfId="0" applyFont="1" applyFill="1" applyBorder="1"/>
    <xf numFmtId="0" fontId="4" fillId="8" borderId="6" xfId="0" applyFont="1" applyFill="1" applyBorder="1"/>
    <xf numFmtId="0" fontId="4" fillId="9" borderId="6" xfId="0" applyFont="1" applyFill="1" applyBorder="1"/>
    <xf numFmtId="0" fontId="0" fillId="2" borderId="7" xfId="0" applyFill="1" applyBorder="1"/>
    <xf numFmtId="1" fontId="4" fillId="2" borderId="7" xfId="0" applyNumberFormat="1" applyFont="1" applyFill="1" applyBorder="1"/>
    <xf numFmtId="1" fontId="4" fillId="5" borderId="7" xfId="0" applyNumberFormat="1" applyFont="1" applyFill="1" applyBorder="1"/>
    <xf numFmtId="1" fontId="4" fillId="6" borderId="7" xfId="0" applyNumberFormat="1" applyFont="1" applyFill="1" applyBorder="1"/>
    <xf numFmtId="1" fontId="4" fillId="7" borderId="7" xfId="0" applyNumberFormat="1" applyFont="1" applyFill="1" applyBorder="1"/>
    <xf numFmtId="1" fontId="4" fillId="8" borderId="7" xfId="0" applyNumberFormat="1" applyFont="1" applyFill="1" applyBorder="1"/>
    <xf numFmtId="1" fontId="4" fillId="9" borderId="7" xfId="0" applyNumberFormat="1" applyFont="1" applyFill="1" applyBorder="1"/>
    <xf numFmtId="0" fontId="0" fillId="0" borderId="0" xfId="0" applyAlignment="1">
      <alignment horizontal="center"/>
    </xf>
    <xf numFmtId="14" fontId="0" fillId="0" borderId="0" xfId="1" applyNumberFormat="1" applyFont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9" fontId="0" fillId="0" borderId="0" xfId="1" applyFont="1" applyBorder="1"/>
    <xf numFmtId="14" fontId="0" fillId="0" borderId="0" xfId="0" applyNumberFormat="1" applyBorder="1" applyAlignment="1">
      <alignment wrapText="1"/>
    </xf>
    <xf numFmtId="0" fontId="0" fillId="0" borderId="9" xfId="0" applyBorder="1"/>
    <xf numFmtId="9" fontId="5" fillId="0" borderId="9" xfId="1" applyFont="1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166" fontId="5" fillId="0" borderId="11" xfId="0" applyNumberFormat="1" applyFont="1" applyBorder="1"/>
    <xf numFmtId="0" fontId="0" fillId="0" borderId="26" xfId="0" applyBorder="1"/>
    <xf numFmtId="0" fontId="0" fillId="0" borderId="27" xfId="0" applyBorder="1"/>
    <xf numFmtId="168" fontId="0" fillId="10" borderId="28" xfId="0" applyNumberFormat="1" applyFill="1" applyBorder="1"/>
    <xf numFmtId="0" fontId="0" fillId="0" borderId="29" xfId="0" applyBorder="1"/>
    <xf numFmtId="168" fontId="0" fillId="0" borderId="6" xfId="1" applyNumberFormat="1" applyFont="1" applyBorder="1"/>
    <xf numFmtId="168" fontId="0" fillId="0" borderId="5" xfId="1" applyNumberFormat="1" applyFont="1" applyBorder="1"/>
    <xf numFmtId="168" fontId="0" fillId="0" borderId="7" xfId="1" applyNumberFormat="1" applyFont="1" applyBorder="1"/>
    <xf numFmtId="168" fontId="0" fillId="0" borderId="19" xfId="1" applyNumberFormat="1" applyFont="1" applyBorder="1"/>
    <xf numFmtId="168" fontId="0" fillId="0" borderId="20" xfId="1" applyNumberFormat="1" applyFont="1" applyBorder="1"/>
    <xf numFmtId="165" fontId="0" fillId="0" borderId="5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  <xf numFmtId="167" fontId="0" fillId="0" borderId="6" xfId="0" applyNumberFormat="1" applyBorder="1"/>
    <xf numFmtId="0" fontId="0" fillId="11" borderId="7" xfId="0" applyFill="1" applyBorder="1"/>
    <xf numFmtId="167" fontId="0" fillId="11" borderId="7" xfId="0" applyNumberFormat="1" applyFill="1" applyBorder="1"/>
    <xf numFmtId="0" fontId="0" fillId="0" borderId="30" xfId="0" applyBorder="1"/>
    <xf numFmtId="167" fontId="0" fillId="0" borderId="30" xfId="0" applyNumberFormat="1" applyBorder="1"/>
    <xf numFmtId="0" fontId="5" fillId="0" borderId="9" xfId="0" applyFont="1" applyBorder="1"/>
    <xf numFmtId="0" fontId="6" fillId="11" borderId="7" xfId="0" applyFont="1" applyFill="1" applyBorder="1"/>
    <xf numFmtId="167" fontId="6" fillId="0" borderId="9" xfId="0" applyNumberFormat="1" applyFont="1" applyBorder="1"/>
    <xf numFmtId="167" fontId="7" fillId="11" borderId="7" xfId="0" applyNumberFormat="1" applyFont="1" applyFill="1" applyBorder="1"/>
    <xf numFmtId="0" fontId="2" fillId="0" borderId="0" xfId="0" applyFont="1" applyBorder="1" applyAlignment="1">
      <alignment wrapText="1"/>
    </xf>
    <xf numFmtId="0" fontId="5" fillId="0" borderId="0" xfId="0" applyFont="1"/>
    <xf numFmtId="3" fontId="0" fillId="0" borderId="0" xfId="0" applyNumberFormat="1"/>
    <xf numFmtId="0" fontId="0" fillId="12" borderId="0" xfId="0" applyFill="1"/>
    <xf numFmtId="14" fontId="0" fillId="0" borderId="0" xfId="0" applyNumberFormat="1" applyFill="1"/>
    <xf numFmtId="164" fontId="0" fillId="2" borderId="0" xfId="0" applyNumberFormat="1" applyFill="1" applyBorder="1"/>
    <xf numFmtId="0" fontId="0" fillId="0" borderId="0" xfId="0" applyAlignment="1">
      <alignment horizontal="center"/>
    </xf>
    <xf numFmtId="1" fontId="0" fillId="0" borderId="5" xfId="0" applyNumberFormat="1" applyBorder="1"/>
    <xf numFmtId="9" fontId="0" fillId="0" borderId="5" xfId="1" applyFont="1" applyBorder="1"/>
    <xf numFmtId="1" fontId="5" fillId="0" borderId="7" xfId="0" applyNumberFormat="1" applyFont="1" applyBorder="1"/>
    <xf numFmtId="9" fontId="5" fillId="0" borderId="7" xfId="1" applyFont="1" applyBorder="1"/>
    <xf numFmtId="1" fontId="0" fillId="0" borderId="19" xfId="0" applyNumberFormat="1" applyBorder="1"/>
    <xf numFmtId="9" fontId="0" fillId="0" borderId="19" xfId="1" applyFont="1" applyBorder="1"/>
    <xf numFmtId="0" fontId="5" fillId="0" borderId="7" xfId="0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7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3" xfId="0" applyBorder="1"/>
    <xf numFmtId="0" fontId="0" fillId="0" borderId="36" xfId="0" applyBorder="1"/>
    <xf numFmtId="1" fontId="5" fillId="0" borderId="13" xfId="0" applyNumberFormat="1" applyFont="1" applyBorder="1"/>
    <xf numFmtId="0" fontId="0" fillId="0" borderId="37" xfId="0" applyBorder="1"/>
    <xf numFmtId="1" fontId="5" fillId="0" borderId="37" xfId="0" applyNumberFormat="1" applyFont="1" applyBorder="1"/>
    <xf numFmtId="0" fontId="0" fillId="0" borderId="38" xfId="0" applyBorder="1"/>
    <xf numFmtId="1" fontId="5" fillId="0" borderId="2" xfId="0" applyNumberFormat="1" applyFont="1" applyBorder="1"/>
    <xf numFmtId="165" fontId="0" fillId="0" borderId="7" xfId="0" applyNumberFormat="1" applyBorder="1"/>
    <xf numFmtId="0" fontId="2" fillId="13" borderId="4" xfId="0" applyFont="1" applyFill="1" applyBorder="1"/>
    <xf numFmtId="169" fontId="0" fillId="0" borderId="0" xfId="0" applyNumberFormat="1"/>
    <xf numFmtId="169" fontId="0" fillId="0" borderId="0" xfId="0" applyNumberFormat="1" applyAlignment="1">
      <alignment wrapText="1"/>
    </xf>
    <xf numFmtId="0" fontId="0" fillId="14" borderId="0" xfId="0" applyFill="1"/>
    <xf numFmtId="0" fontId="0" fillId="4" borderId="0" xfId="0" applyFill="1" applyAlignment="1">
      <alignment wrapText="1"/>
    </xf>
    <xf numFmtId="9" fontId="0" fillId="5" borderId="5" xfId="1" applyFont="1" applyFill="1" applyBorder="1"/>
    <xf numFmtId="9" fontId="0" fillId="0" borderId="5" xfId="1" applyNumberFormat="1" applyFont="1" applyBorder="1"/>
    <xf numFmtId="1" fontId="0" fillId="0" borderId="20" xfId="0" applyNumberFormat="1" applyBorder="1"/>
    <xf numFmtId="9" fontId="0" fillId="0" borderId="20" xfId="1" applyFont="1" applyBorder="1"/>
    <xf numFmtId="1" fontId="5" fillId="0" borderId="9" xfId="0" applyNumberFormat="1" applyFont="1" applyBorder="1"/>
    <xf numFmtId="168" fontId="5" fillId="0" borderId="9" xfId="0" applyNumberFormat="1" applyFont="1" applyBorder="1"/>
    <xf numFmtId="168" fontId="0" fillId="5" borderId="19" xfId="1" applyNumberFormat="1" applyFont="1" applyFill="1" applyBorder="1"/>
    <xf numFmtId="9" fontId="0" fillId="5" borderId="19" xfId="1" applyFont="1" applyFill="1" applyBorder="1"/>
    <xf numFmtId="9" fontId="0" fillId="0" borderId="19" xfId="1" applyNumberFormat="1" applyFont="1" applyBorder="1"/>
    <xf numFmtId="10" fontId="0" fillId="0" borderId="0" xfId="1" applyNumberFormat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9" fontId="0" fillId="0" borderId="0" xfId="0" applyNumberFormat="1" applyBorder="1" applyAlignment="1">
      <alignment wrapText="1"/>
    </xf>
    <xf numFmtId="0" fontId="0" fillId="15" borderId="0" xfId="0" applyFill="1"/>
    <xf numFmtId="0" fontId="0" fillId="15" borderId="0" xfId="0" applyFill="1" applyBorder="1"/>
    <xf numFmtId="0" fontId="0" fillId="0" borderId="41" xfId="0" applyBorder="1"/>
    <xf numFmtId="1" fontId="0" fillId="0" borderId="42" xfId="0" applyNumberFormat="1" applyBorder="1"/>
    <xf numFmtId="0" fontId="0" fillId="0" borderId="42" xfId="0" applyBorder="1"/>
    <xf numFmtId="0" fontId="5" fillId="15" borderId="43" xfId="0" applyFont="1" applyFill="1" applyBorder="1"/>
    <xf numFmtId="9" fontId="5" fillId="15" borderId="44" xfId="1" applyNumberFormat="1" applyFont="1" applyFill="1" applyBorder="1"/>
    <xf numFmtId="0" fontId="5" fillId="0" borderId="43" xfId="0" applyFont="1" applyBorder="1"/>
    <xf numFmtId="1" fontId="5" fillId="0" borderId="44" xfId="0" applyNumberFormat="1" applyFont="1" applyBorder="1"/>
    <xf numFmtId="0" fontId="0" fillId="4" borderId="0" xfId="0" applyFill="1"/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5" fillId="0" borderId="7" xfId="0" applyFont="1" applyBorder="1"/>
    <xf numFmtId="0" fontId="0" fillId="17" borderId="9" xfId="0" applyFill="1" applyBorder="1"/>
    <xf numFmtId="3" fontId="0" fillId="0" borderId="19" xfId="0" applyNumberFormat="1" applyBorder="1"/>
    <xf numFmtId="3" fontId="0" fillId="0" borderId="5" xfId="0" applyNumberFormat="1" applyBorder="1"/>
    <xf numFmtId="3" fontId="0" fillId="0" borderId="20" xfId="0" applyNumberFormat="1" applyBorder="1"/>
    <xf numFmtId="3" fontId="5" fillId="0" borderId="9" xfId="0" applyNumberFormat="1" applyFont="1" applyBorder="1"/>
    <xf numFmtId="0" fontId="0" fillId="16" borderId="5" xfId="0" applyFill="1" applyBorder="1"/>
    <xf numFmtId="0" fontId="5" fillId="17" borderId="6" xfId="0" applyFont="1" applyFill="1" applyBorder="1"/>
    <xf numFmtId="0" fontId="0" fillId="17" borderId="6" xfId="0" applyFill="1" applyBorder="1"/>
    <xf numFmtId="0" fontId="5" fillId="17" borderId="9" xfId="0" applyFont="1" applyFill="1" applyBorder="1"/>
    <xf numFmtId="3" fontId="0" fillId="0" borderId="7" xfId="0" applyNumberFormat="1" applyBorder="1"/>
    <xf numFmtId="0" fontId="5" fillId="0" borderId="13" xfId="0" applyFont="1" applyBorder="1"/>
    <xf numFmtId="0" fontId="5" fillId="0" borderId="0" xfId="0" applyFont="1" applyBorder="1"/>
    <xf numFmtId="0" fontId="5" fillId="17" borderId="9" xfId="0" applyFont="1" applyFill="1" applyBorder="1" applyAlignment="1">
      <alignment wrapText="1"/>
    </xf>
    <xf numFmtId="0" fontId="0" fillId="17" borderId="5" xfId="0" applyFill="1" applyBorder="1"/>
    <xf numFmtId="3" fontId="0" fillId="17" borderId="5" xfId="0" applyNumberFormat="1" applyFill="1" applyBorder="1"/>
    <xf numFmtId="3" fontId="11" fillId="0" borderId="19" xfId="0" applyNumberFormat="1" applyFont="1" applyBorder="1"/>
    <xf numFmtId="0" fontId="0" fillId="5" borderId="5" xfId="0" applyFill="1" applyBorder="1"/>
    <xf numFmtId="3" fontId="0" fillId="5" borderId="5" xfId="0" applyNumberFormat="1" applyFill="1" applyBorder="1"/>
    <xf numFmtId="0" fontId="0" fillId="17" borderId="20" xfId="0" applyFill="1" applyBorder="1"/>
    <xf numFmtId="3" fontId="0" fillId="17" borderId="20" xfId="0" applyNumberFormat="1" applyFill="1" applyBorder="1"/>
    <xf numFmtId="1" fontId="0" fillId="5" borderId="5" xfId="0" applyNumberFormat="1" applyFill="1" applyBorder="1"/>
    <xf numFmtId="0" fontId="0" fillId="0" borderId="6" xfId="0" applyBorder="1" applyAlignment="1">
      <alignment wrapText="1"/>
    </xf>
    <xf numFmtId="0" fontId="5" fillId="17" borderId="39" xfId="0" applyFont="1" applyFill="1" applyBorder="1"/>
    <xf numFmtId="0" fontId="0" fillId="0" borderId="6" xfId="0" applyBorder="1" applyAlignment="1">
      <alignment vertical="center" wrapText="1"/>
    </xf>
    <xf numFmtId="0" fontId="0" fillId="5" borderId="7" xfId="0" applyFill="1" applyBorder="1"/>
    <xf numFmtId="0" fontId="5" fillId="17" borderId="7" xfId="0" applyFont="1" applyFill="1" applyBorder="1"/>
    <xf numFmtId="1" fontId="0" fillId="15" borderId="0" xfId="0" applyNumberFormat="1" applyFill="1"/>
    <xf numFmtId="3" fontId="0" fillId="0" borderId="6" xfId="0" applyNumberFormat="1" applyBorder="1"/>
    <xf numFmtId="0" fontId="0" fillId="12" borderId="45" xfId="0" applyFill="1" applyBorder="1"/>
    <xf numFmtId="0" fontId="5" fillId="17" borderId="0" xfId="0" applyFont="1" applyFill="1" applyBorder="1"/>
    <xf numFmtId="0" fontId="0" fillId="0" borderId="46" xfId="0" applyBorder="1"/>
    <xf numFmtId="0" fontId="5" fillId="2" borderId="47" xfId="0" applyFont="1" applyFill="1" applyBorder="1"/>
    <xf numFmtId="0" fontId="5" fillId="2" borderId="48" xfId="0" applyFont="1" applyFill="1" applyBorder="1"/>
    <xf numFmtId="0" fontId="0" fillId="0" borderId="49" xfId="0" applyBorder="1"/>
    <xf numFmtId="1" fontId="5" fillId="17" borderId="37" xfId="0" applyNumberFormat="1" applyFont="1" applyFill="1" applyBorder="1"/>
    <xf numFmtId="1" fontId="5" fillId="17" borderId="50" xfId="0" applyNumberFormat="1" applyFont="1" applyFill="1" applyBorder="1"/>
    <xf numFmtId="0" fontId="0" fillId="0" borderId="0" xfId="0" applyFill="1" applyBorder="1"/>
    <xf numFmtId="9" fontId="0" fillId="15" borderId="0" xfId="1" applyFont="1" applyFill="1"/>
    <xf numFmtId="3" fontId="0" fillId="15" borderId="0" xfId="0" applyNumberFormat="1" applyFill="1"/>
    <xf numFmtId="9" fontId="0" fillId="5" borderId="0" xfId="1" applyFont="1" applyFill="1"/>
    <xf numFmtId="0" fontId="8" fillId="17" borderId="5" xfId="0" applyFont="1" applyFill="1" applyBorder="1"/>
    <xf numFmtId="0" fontId="0" fillId="17" borderId="5" xfId="0" applyFont="1" applyFill="1" applyBorder="1"/>
    <xf numFmtId="0" fontId="0" fillId="17" borderId="0" xfId="0" applyFill="1"/>
    <xf numFmtId="168" fontId="0" fillId="0" borderId="30" xfId="1" applyNumberFormat="1" applyFont="1" applyFill="1" applyBorder="1"/>
    <xf numFmtId="0" fontId="0" fillId="0" borderId="51" xfId="0" applyBorder="1"/>
    <xf numFmtId="3" fontId="0" fillId="0" borderId="0" xfId="0" applyNumberFormat="1" applyBorder="1"/>
    <xf numFmtId="3" fontId="0" fillId="6" borderId="0" xfId="0" applyNumberFormat="1" applyFill="1" applyBorder="1"/>
    <xf numFmtId="3" fontId="0" fillId="6" borderId="52" xfId="0" applyNumberFormat="1" applyFill="1" applyBorder="1"/>
    <xf numFmtId="3" fontId="0" fillId="0" borderId="37" xfId="0" applyNumberFormat="1" applyBorder="1"/>
    <xf numFmtId="3" fontId="0" fillId="6" borderId="37" xfId="0" applyNumberFormat="1" applyFill="1" applyBorder="1"/>
    <xf numFmtId="3" fontId="0" fillId="6" borderId="50" xfId="0" applyNumberFormat="1" applyFill="1" applyBorder="1"/>
    <xf numFmtId="0" fontId="0" fillId="24" borderId="0" xfId="0" applyFill="1"/>
    <xf numFmtId="0" fontId="5" fillId="17" borderId="13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68" fontId="0" fillId="0" borderId="0" xfId="1" applyNumberFormat="1" applyFont="1" applyFill="1" applyBorder="1"/>
    <xf numFmtId="0" fontId="5" fillId="17" borderId="10" xfId="0" applyFont="1" applyFill="1" applyBorder="1"/>
    <xf numFmtId="1" fontId="0" fillId="0" borderId="17" xfId="0" applyNumberFormat="1" applyBorder="1"/>
    <xf numFmtId="1" fontId="0" fillId="5" borderId="15" xfId="0" applyNumberFormat="1" applyFill="1" applyBorder="1"/>
    <xf numFmtId="1" fontId="0" fillId="0" borderId="15" xfId="0" applyNumberFormat="1" applyBorder="1"/>
    <xf numFmtId="0" fontId="0" fillId="0" borderId="53" xfId="0" applyBorder="1"/>
    <xf numFmtId="168" fontId="0" fillId="0" borderId="54" xfId="1" applyNumberFormat="1" applyFont="1" applyFill="1" applyBorder="1"/>
    <xf numFmtId="168" fontId="0" fillId="0" borderId="55" xfId="1" applyNumberFormat="1" applyFont="1" applyFill="1" applyBorder="1"/>
    <xf numFmtId="165" fontId="0" fillId="0" borderId="53" xfId="0" applyNumberFormat="1" applyBorder="1"/>
    <xf numFmtId="165" fontId="0" fillId="0" borderId="54" xfId="0" applyNumberFormat="1" applyBorder="1"/>
    <xf numFmtId="0" fontId="0" fillId="0" borderId="54" xfId="0" applyBorder="1"/>
    <xf numFmtId="165" fontId="0" fillId="0" borderId="55" xfId="0" applyNumberFormat="1" applyBorder="1"/>
    <xf numFmtId="166" fontId="0" fillId="0" borderId="5" xfId="0" applyNumberFormat="1" applyBorder="1"/>
    <xf numFmtId="0" fontId="5" fillId="22" borderId="6" xfId="0" applyFont="1" applyFill="1" applyBorder="1"/>
    <xf numFmtId="0" fontId="5" fillId="22" borderId="7" xfId="0" applyFont="1" applyFill="1" applyBorder="1"/>
    <xf numFmtId="1" fontId="6" fillId="22" borderId="7" xfId="0" applyNumberFormat="1" applyFont="1" applyFill="1" applyBorder="1"/>
    <xf numFmtId="1" fontId="6" fillId="22" borderId="5" xfId="0" applyNumberFormat="1" applyFont="1" applyFill="1" applyBorder="1"/>
    <xf numFmtId="0" fontId="6" fillId="22" borderId="9" xfId="0" applyFont="1" applyFill="1" applyBorder="1"/>
    <xf numFmtId="1" fontId="15" fillId="0" borderId="19" xfId="0" applyNumberFormat="1" applyFont="1" applyBorder="1"/>
    <xf numFmtId="1" fontId="6" fillId="22" borderId="19" xfId="0" applyNumberFormat="1" applyFont="1" applyFill="1" applyBorder="1"/>
    <xf numFmtId="1" fontId="15" fillId="0" borderId="5" xfId="0" applyNumberFormat="1" applyFont="1" applyBorder="1"/>
    <xf numFmtId="0" fontId="15" fillId="0" borderId="5" xfId="0" applyFont="1" applyBorder="1"/>
    <xf numFmtId="0" fontId="6" fillId="22" borderId="6" xfId="0" applyFont="1" applyFill="1" applyBorder="1"/>
    <xf numFmtId="166" fontId="0" fillId="0" borderId="19" xfId="0" applyNumberFormat="1" applyBorder="1"/>
    <xf numFmtId="166" fontId="0" fillId="5" borderId="5" xfId="0" applyNumberFormat="1" applyFill="1" applyBorder="1"/>
    <xf numFmtId="166" fontId="0" fillId="0" borderId="20" xfId="0" applyNumberForma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18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10" fillId="21" borderId="13" xfId="0" applyFont="1" applyFill="1" applyBorder="1" applyAlignment="1">
      <alignment horizontal="center" wrapText="1"/>
    </xf>
    <xf numFmtId="0" fontId="7" fillId="4" borderId="1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9" fillId="23" borderId="46" xfId="0" applyFont="1" applyFill="1" applyBorder="1" applyAlignment="1">
      <alignment horizontal="center"/>
    </xf>
    <xf numFmtId="0" fontId="9" fillId="23" borderId="47" xfId="0" applyFont="1" applyFill="1" applyBorder="1" applyAlignment="1">
      <alignment horizontal="center"/>
    </xf>
    <xf numFmtId="0" fontId="9" fillId="23" borderId="48" xfId="0" applyFont="1" applyFill="1" applyBorder="1" applyAlignment="1">
      <alignment horizontal="center"/>
    </xf>
    <xf numFmtId="0" fontId="9" fillId="20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19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numFmt numFmtId="169" formatCode="m/d/yyyy"/>
    </dxf>
    <dxf>
      <numFmt numFmtId="165" formatCode="0.0000"/>
    </dxf>
    <dxf>
      <numFmt numFmtId="169" formatCode="m/d/yyyy"/>
      <alignment horizontal="general" vertical="bottom" textRotation="0" wrapText="1" indent="0" justifyLastLine="0" shrinkToFit="0" readingOrder="0"/>
    </dxf>
    <dxf>
      <numFmt numFmtId="169" formatCode="m/d/yyyy"/>
    </dxf>
    <dxf>
      <numFmt numFmtId="169" formatCode="m/d/yyyy"/>
    </dxf>
    <dxf>
      <numFmt numFmtId="164" formatCode="0.0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9" formatCode="m/d/yyyy"/>
    </dxf>
    <dxf>
      <numFmt numFmtId="165" formatCode="0.0000"/>
    </dxf>
    <dxf>
      <numFmt numFmtId="169" formatCode="m/d/yyyy"/>
    </dxf>
    <dxf>
      <numFmt numFmtId="164" formatCode="0.00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m/d/yyyy"/>
      <alignment horizontal="general" vertical="bottom" textRotation="0" wrapText="1" indent="0" justifyLastLine="0" shrinkToFit="0" readingOrder="0"/>
    </dxf>
    <dxf>
      <numFmt numFmtId="165" formatCode="0.0000"/>
    </dxf>
    <dxf>
      <alignment horizontal="center" vertical="bottom" textRotation="0" wrapText="0" indent="0" justifyLastLine="0" shrinkToFit="0" readingOrder="0"/>
    </dxf>
    <dxf>
      <numFmt numFmtId="169" formatCode="m/d/yyyy"/>
    </dxf>
    <dxf>
      <numFmt numFmtId="19" formatCode="dd/mm/yyyy"/>
    </dxf>
    <dxf>
      <numFmt numFmtId="164" formatCode="0.000"/>
    </dxf>
    <dxf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3BFF94"/>
      <color rgb="FFA75FF7"/>
      <color rgb="FF9A4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7.1724628171478552E-2"/>
          <c:w val="0.85219685039370074"/>
          <c:h val="0.8416746864975212"/>
        </c:manualLayout>
      </c:layout>
      <c:areaChart>
        <c:grouping val="stacked"/>
        <c:varyColors val="0"/>
        <c:ser>
          <c:idx val="1"/>
          <c:order val="0"/>
          <c:tx>
            <c:v>Аукціони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ПРОГНОЗ!$AA$64:$BE$64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cat>
          <c:val>
            <c:numRef>
              <c:f>ПРОГНОЗ!$AA$70:$BE$70</c:f>
              <c:numCache>
                <c:formatCode>0</c:formatCode>
                <c:ptCount val="31"/>
                <c:pt idx="0">
                  <c:v>1.2001199999999999</c:v>
                </c:pt>
                <c:pt idx="1">
                  <c:v>14.597847959999999</c:v>
                </c:pt>
                <c:pt idx="2">
                  <c:v>51.349868055839998</c:v>
                </c:pt>
                <c:pt idx="3">
                  <c:v>104.89510917590493</c:v>
                </c:pt>
                <c:pt idx="4">
                  <c:v>174.81081173884951</c:v>
                </c:pt>
                <c:pt idx="5">
                  <c:v>241.26206686241636</c:v>
                </c:pt>
                <c:pt idx="6">
                  <c:v>309.39409741924192</c:v>
                </c:pt>
                <c:pt idx="7">
                  <c:v>375.48775372672645</c:v>
                </c:pt>
                <c:pt idx="8">
                  <c:v>438.66517162836612</c:v>
                </c:pt>
                <c:pt idx="9">
                  <c:v>499.90790232259593</c:v>
                </c:pt>
                <c:pt idx="10">
                  <c:v>559.5426861726603</c:v>
                </c:pt>
                <c:pt idx="11">
                  <c:v>588.85423558762432</c:v>
                </c:pt>
                <c:pt idx="12">
                  <c:v>588.64714902209857</c:v>
                </c:pt>
                <c:pt idx="13">
                  <c:v>588.44130497596598</c:v>
                </c:pt>
                <c:pt idx="14">
                  <c:v>588.23669599411016</c:v>
                </c:pt>
                <c:pt idx="15">
                  <c:v>588.03331466614554</c:v>
                </c:pt>
                <c:pt idx="16">
                  <c:v>587.83115362614865</c:v>
                </c:pt>
                <c:pt idx="17">
                  <c:v>587.63020555239177</c:v>
                </c:pt>
                <c:pt idx="18">
                  <c:v>587.43046316707739</c:v>
                </c:pt>
                <c:pt idx="19">
                  <c:v>587.23191923607499</c:v>
                </c:pt>
                <c:pt idx="20">
                  <c:v>585.97054027225067</c:v>
                </c:pt>
                <c:pt idx="21">
                  <c:v>572.16941127865425</c:v>
                </c:pt>
                <c:pt idx="22">
                  <c:v>532.94653070552943</c:v>
                </c:pt>
                <c:pt idx="23">
                  <c:v>476.01220820022513</c:v>
                </c:pt>
                <c:pt idx="24">
                  <c:v>413.58422317570597</c:v>
                </c:pt>
                <c:pt idx="25">
                  <c:v>347.50191780766357</c:v>
                </c:pt>
                <c:pt idx="26">
                  <c:v>279.80464974557003</c:v>
                </c:pt>
                <c:pt idx="27">
                  <c:v>214.0304821853301</c:v>
                </c:pt>
                <c:pt idx="28">
                  <c:v>150.81785399999998</c:v>
                </c:pt>
                <c:pt idx="29">
                  <c:v>89.364263999999991</c:v>
                </c:pt>
                <c:pt idx="30">
                  <c:v>29.519886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D-46AB-9C2F-BF6DB2AB926B}"/>
            </c:ext>
          </c:extLst>
        </c:ser>
        <c:ser>
          <c:idx val="0"/>
          <c:order val="1"/>
          <c:tx>
            <c:v>"Зелений" тариф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ПРОГНОЗ!$AA$64:$BE$64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cat>
          <c:val>
            <c:numRef>
              <c:f>ПРОГНОЗ!$AA$62:$AI$62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D-46AB-9C2F-BF6DB2AB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04448"/>
        <c:axId val="439341696"/>
      </c:areaChart>
      <c:catAx>
        <c:axId val="4398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39341696"/>
        <c:crosses val="autoZero"/>
        <c:auto val="1"/>
        <c:lblAlgn val="ctr"/>
        <c:lblOffset val="100"/>
        <c:noMultiLvlLbl val="0"/>
      </c:catAx>
      <c:valAx>
        <c:axId val="439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398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0</xdr:rowOff>
    </xdr:from>
    <xdr:to>
      <xdr:col>12</xdr:col>
      <xdr:colOff>22860</xdr:colOff>
      <xdr:row>23</xdr:row>
      <xdr:rowOff>76200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632460"/>
          <a:ext cx="2453640" cy="393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106680</xdr:colOff>
      <xdr:row>35</xdr:row>
      <xdr:rowOff>133350</xdr:rowOff>
    </xdr:from>
    <xdr:to>
      <xdr:col>49</xdr:col>
      <xdr:colOff>411480</xdr:colOff>
      <xdr:row>52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" displayName="Таб" ref="B3:BP1373" totalsRowShown="0" headerRowDxfId="60">
  <autoFilter ref="B3:BP1373" xr:uid="{00000000-0009-0000-0100-000001000000}"/>
  <tableColumns count="67">
    <tableColumn id="3" xr3:uid="{00000000-0010-0000-0000-000003000000}" name="Тип"/>
    <tableColumn id="19" xr3:uid="{00000000-0010-0000-0000-000013000000}" name="Підтип"/>
    <tableColumn id="59" xr3:uid="{00000000-0010-0000-0000-00003B000000}" name="Бенефіціар"/>
    <tableColumn id="21" xr3:uid="{00000000-0010-0000-0000-000015000000}" name="Інвестор"/>
    <tableColumn id="20" xr3:uid="{00000000-0010-0000-0000-000014000000}" name="Країна"/>
    <tableColumn id="4" xr3:uid="{00000000-0010-0000-0000-000004000000}" name="Найменування суб'єкта госпощдарювання" dataDxfId="59"/>
    <tableColumn id="6" xr3:uid="{00000000-0010-0000-0000-000006000000}" name="Область"/>
    <tableColumn id="7" xr3:uid="{00000000-0010-0000-0000-000007000000}" name="Район"/>
    <tableColumn id="10" xr3:uid="{00000000-0010-0000-0000-00000A000000}" name="Потужність, МВт" dataDxfId="58"/>
    <tableColumn id="22" xr3:uid="{00000000-0010-0000-0000-000016000000}" name="Дата введення в експлуатацію" dataDxfId="57"/>
    <tableColumn id="11" xr3:uid="{00000000-0010-0000-0000-00000B000000}" name="Дата встановлення &quot;Зеленого тарифу&quot;" dataDxfId="56"/>
    <tableColumn id="12" xr3:uid="{00000000-0010-0000-0000-00000C000000}" name="Місяць"/>
    <tableColumn id="13" xr3:uid="{00000000-0010-0000-0000-00000D000000}" name="Квартал" dataDxfId="55"/>
    <tableColumn id="14" xr3:uid="{00000000-0010-0000-0000-00000E000000}" name="Рік"/>
    <tableColumn id="15" xr3:uid="{00000000-0010-0000-0000-00000F000000}" name="Зелений Тариф ЕЦ"/>
    <tableColumn id="16" xr3:uid="{00000000-0010-0000-0000-000010000000}" name="% надбавки"/>
    <tableColumn id="17" xr3:uid="{00000000-0010-0000-0000-000011000000}" name="Тариф+ надбавка" dataDxfId="54">
      <calculatedColumnFormula>ROUND(Таб[[#This Row],[Зелений Тариф ЕЦ]]+Таб[[#This Row],[Зелений Тариф ЕЦ]]*Таб[[#This Row],[% надбавки]],4)</calculatedColumnFormula>
    </tableColumn>
    <tableColumn id="18" xr3:uid="{00000000-0010-0000-0000-000012000000}" name="Дата встановлення надбавки" dataDxfId="53"/>
    <tableColumn id="23" xr3:uid="{00000000-0010-0000-0000-000017000000}" name="Січ.17"/>
    <tableColumn id="24" xr3:uid="{00000000-0010-0000-0000-000018000000}" name="Лют.17"/>
    <tableColumn id="25" xr3:uid="{00000000-0010-0000-0000-000019000000}" name="Бер.17"/>
    <tableColumn id="26" xr3:uid="{00000000-0010-0000-0000-00001A000000}" name="Кві.17"/>
    <tableColumn id="27" xr3:uid="{00000000-0010-0000-0000-00001B000000}" name="Тра.17"/>
    <tableColumn id="28" xr3:uid="{00000000-0010-0000-0000-00001C000000}" name="Чер.17"/>
    <tableColumn id="29" xr3:uid="{00000000-0010-0000-0000-00001D000000}" name="Лип.17"/>
    <tableColumn id="30" xr3:uid="{00000000-0010-0000-0000-00001E000000}" name="Сер.17"/>
    <tableColumn id="31" xr3:uid="{00000000-0010-0000-0000-00001F000000}" name="Вер.17"/>
    <tableColumn id="32" xr3:uid="{00000000-0010-0000-0000-000020000000}" name="Жов.17"/>
    <tableColumn id="33" xr3:uid="{00000000-0010-0000-0000-000021000000}" name="Лис.17"/>
    <tableColumn id="34" xr3:uid="{00000000-0010-0000-0000-000022000000}" name="Гру.17"/>
    <tableColumn id="35" xr3:uid="{00000000-0010-0000-0000-000023000000}" name="Січ.18"/>
    <tableColumn id="36" xr3:uid="{00000000-0010-0000-0000-000024000000}" name="Лют.18"/>
    <tableColumn id="37" xr3:uid="{00000000-0010-0000-0000-000025000000}" name="Бер.18"/>
    <tableColumn id="38" xr3:uid="{00000000-0010-0000-0000-000026000000}" name="Кві.18"/>
    <tableColumn id="39" xr3:uid="{00000000-0010-0000-0000-000027000000}" name="Тра.18"/>
    <tableColumn id="40" xr3:uid="{00000000-0010-0000-0000-000028000000}" name="Чер.18"/>
    <tableColumn id="41" xr3:uid="{00000000-0010-0000-0000-000029000000}" name="Лип.18"/>
    <tableColumn id="42" xr3:uid="{00000000-0010-0000-0000-00002A000000}" name="Сер.18"/>
    <tableColumn id="43" xr3:uid="{00000000-0010-0000-0000-00002B000000}" name="Вер.18"/>
    <tableColumn id="44" xr3:uid="{00000000-0010-0000-0000-00002C000000}" name="Жов.18"/>
    <tableColumn id="45" xr3:uid="{00000000-0010-0000-0000-00002D000000}" name="Лис.18"/>
    <tableColumn id="46" xr3:uid="{00000000-0010-0000-0000-00002E000000}" name="Гру.18"/>
    <tableColumn id="47" xr3:uid="{00000000-0010-0000-0000-00002F000000}" name="Січ.19"/>
    <tableColumn id="48" xr3:uid="{00000000-0010-0000-0000-000030000000}" name="Лют.19"/>
    <tableColumn id="49" xr3:uid="{00000000-0010-0000-0000-000031000000}" name="Бер.19"/>
    <tableColumn id="50" xr3:uid="{00000000-0010-0000-0000-000032000000}" name="Кві.19"/>
    <tableColumn id="51" xr3:uid="{00000000-0010-0000-0000-000033000000}" name="Тра.19"/>
    <tableColumn id="52" xr3:uid="{00000000-0010-0000-0000-000034000000}" name="Чер.19"/>
    <tableColumn id="53" xr3:uid="{00000000-0010-0000-0000-000035000000}" name="Лип.19"/>
    <tableColumn id="54" xr3:uid="{00000000-0010-0000-0000-000036000000}" name="Сер.19"/>
    <tableColumn id="55" xr3:uid="{00000000-0010-0000-0000-000037000000}" name="Вер.19"/>
    <tableColumn id="56" xr3:uid="{00000000-0010-0000-0000-000038000000}" name="Жов.19"/>
    <tableColumn id="57" xr3:uid="{00000000-0010-0000-0000-000039000000}" name="Лис.19"/>
    <tableColumn id="58" xr3:uid="{00000000-0010-0000-0000-00003A000000}" name="Гру.19"/>
    <tableColumn id="63" xr3:uid="{00000000-0010-0000-0000-00003F000000}" name="1" dataDxfId="52">
      <calculatedColumnFormula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calculatedColumnFormula>
    </tableColumn>
    <tableColumn id="64" xr3:uid="{00000000-0010-0000-0000-000040000000}" name="2" dataDxfId="51">
      <calculatedColumnFormula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calculatedColumnFormula>
    </tableColumn>
    <tableColumn id="65" xr3:uid="{00000000-0010-0000-0000-000041000000}" name="3" dataDxfId="50">
      <calculatedColumnFormula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calculatedColumnFormula>
    </tableColumn>
    <tableColumn id="66" xr3:uid="{00000000-0010-0000-0000-000042000000}" name="4" dataDxfId="49">
      <calculatedColumnFormula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calculatedColumnFormula>
    </tableColumn>
    <tableColumn id="67" xr3:uid="{00000000-0010-0000-0000-000043000000}" name="5" dataDxfId="48">
      <calculatedColumnFormula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calculatedColumnFormula>
    </tableColumn>
    <tableColumn id="68" xr3:uid="{00000000-0010-0000-0000-000044000000}" name="6" dataDxfId="47">
      <calculatedColumnFormula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calculatedColumnFormula>
    </tableColumn>
    <tableColumn id="69" xr3:uid="{00000000-0010-0000-0000-000045000000}" name="7" dataDxfId="46">
      <calculatedColumnFormula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calculatedColumnFormula>
    </tableColumn>
    <tableColumn id="70" xr3:uid="{00000000-0010-0000-0000-000046000000}" name="8" dataDxfId="45">
      <calculatedColumnFormula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calculatedColumnFormula>
    </tableColumn>
    <tableColumn id="71" xr3:uid="{00000000-0010-0000-0000-000047000000}" name="9" dataDxfId="44">
      <calculatedColumnFormula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calculatedColumnFormula>
    </tableColumn>
    <tableColumn id="72" xr3:uid="{00000000-0010-0000-0000-000048000000}" name="10" dataDxfId="43">
      <calculatedColumnFormula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calculatedColumnFormula>
    </tableColumn>
    <tableColumn id="73" xr3:uid="{00000000-0010-0000-0000-000049000000}" name="11" dataDxfId="42">
      <calculatedColumnFormula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calculatedColumnFormula>
    </tableColumn>
    <tableColumn id="74" xr3:uid="{00000000-0010-0000-0000-00004A000000}" name="12" dataDxfId="41">
      <calculatedColumnFormula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calculatedColumnFormula>
    </tableColumn>
    <tableColumn id="75" xr3:uid="{00000000-0010-0000-0000-00004B000000}" name="Всього" dataDxfId="40">
      <calculatedColumnFormula>SUM(Таб[[#This Row],[1]:[12]])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Біо" displayName="ТабБіо" ref="B3:BD71" totalsRowShown="0">
  <autoFilter ref="B3:BD71" xr:uid="{00000000-0009-0000-0100-000002000000}"/>
  <tableColumns count="55">
    <tableColumn id="1" xr3:uid="{00000000-0010-0000-0100-000001000000}" name="Код ринку"/>
    <tableColumn id="2" xr3:uid="{00000000-0010-0000-0100-000002000000}" name="Код ЕДРПОУ"/>
    <tableColumn id="3" xr3:uid="{00000000-0010-0000-0100-000003000000}" name="Тип"/>
    <tableColumn id="55" xr3:uid="{00000000-0010-0000-0100-000037000000}" name="Підтип"/>
    <tableColumn id="4" xr3:uid="{00000000-0010-0000-0100-000004000000}" name="Найменування суб'єкта госпощдарювання" dataDxfId="39"/>
    <tableColumn id="5" xr3:uid="{00000000-0010-0000-0100-000005000000}" name="Об'єкт"/>
    <tableColumn id="6" xr3:uid="{00000000-0010-0000-0100-000006000000}" name="Область"/>
    <tableColumn id="7" xr3:uid="{00000000-0010-0000-0100-000007000000}" name="Район"/>
    <tableColumn id="8" xr3:uid="{00000000-0010-0000-0100-000008000000}" name="Населений пункт"/>
    <tableColumn id="9" xr3:uid="{00000000-0010-0000-0100-000009000000}" name="Місцезнаходження"/>
    <tableColumn id="10" xr3:uid="{00000000-0010-0000-0100-00000A000000}" name="Потужність, МВт" dataDxfId="38"/>
    <tableColumn id="11" xr3:uid="{00000000-0010-0000-0100-00000B000000}" name="Дата встановлення &quot;Зеленого тарифу&quot;" dataDxfId="37"/>
    <tableColumn id="12" xr3:uid="{00000000-0010-0000-0100-00000C000000}" name="Місяць"/>
    <tableColumn id="13" xr3:uid="{00000000-0010-0000-0100-00000D000000}" name="Квартал"/>
    <tableColumn id="14" xr3:uid="{00000000-0010-0000-0100-00000E000000}" name="Рік"/>
    <tableColumn id="15" xr3:uid="{00000000-0010-0000-0100-00000F000000}" name="Зелений Тариф ЕЦ"/>
    <tableColumn id="16" xr3:uid="{00000000-0010-0000-0100-000010000000}" name="% надбавки"/>
    <tableColumn id="17" xr3:uid="{00000000-0010-0000-0100-000011000000}" name="Тариф+ надбавка" dataDxfId="36">
      <calculatedColumnFormula>ROUND(ТабБіо[[#This Row],[Зелений Тариф ЕЦ]]+ТабБіо[[#This Row],[Зелений Тариф ЕЦ]]*ТабБіо[[#This Row],[% надбавки]],4)</calculatedColumnFormula>
    </tableColumn>
    <tableColumn id="18" xr3:uid="{00000000-0010-0000-0100-000012000000}" name="Дата встановлення надбавки" dataDxfId="35"/>
    <tableColumn id="19" xr3:uid="{00000000-0010-0000-0100-000013000000}" name="Січ.17"/>
    <tableColumn id="20" xr3:uid="{00000000-0010-0000-0100-000014000000}" name="Лют.17"/>
    <tableColumn id="21" xr3:uid="{00000000-0010-0000-0100-000015000000}" name="Бер.17"/>
    <tableColumn id="22" xr3:uid="{00000000-0010-0000-0100-000016000000}" name="Кві.17"/>
    <tableColumn id="23" xr3:uid="{00000000-0010-0000-0100-000017000000}" name="Тра.17"/>
    <tableColumn id="24" xr3:uid="{00000000-0010-0000-0100-000018000000}" name="Чер.17"/>
    <tableColumn id="25" xr3:uid="{00000000-0010-0000-0100-000019000000}" name="Лип.17"/>
    <tableColumn id="26" xr3:uid="{00000000-0010-0000-0100-00001A000000}" name="Сер.17"/>
    <tableColumn id="27" xr3:uid="{00000000-0010-0000-0100-00001B000000}" name="Вер.17"/>
    <tableColumn id="28" xr3:uid="{00000000-0010-0000-0100-00001C000000}" name="Жов.17"/>
    <tableColumn id="29" xr3:uid="{00000000-0010-0000-0100-00001D000000}" name="Лис.17"/>
    <tableColumn id="30" xr3:uid="{00000000-0010-0000-0100-00001E000000}" name="Гру.17"/>
    <tableColumn id="31" xr3:uid="{00000000-0010-0000-0100-00001F000000}" name="Січ.18"/>
    <tableColumn id="32" xr3:uid="{00000000-0010-0000-0100-000020000000}" name="Лют.18"/>
    <tableColumn id="33" xr3:uid="{00000000-0010-0000-0100-000021000000}" name="Бер.18"/>
    <tableColumn id="34" xr3:uid="{00000000-0010-0000-0100-000022000000}" name="Кві.18"/>
    <tableColumn id="35" xr3:uid="{00000000-0010-0000-0100-000023000000}" name="Тра.18"/>
    <tableColumn id="36" xr3:uid="{00000000-0010-0000-0100-000024000000}" name="Чер.18"/>
    <tableColumn id="37" xr3:uid="{00000000-0010-0000-0100-000025000000}" name="Лип.18"/>
    <tableColumn id="38" xr3:uid="{00000000-0010-0000-0100-000026000000}" name="Сер.18"/>
    <tableColumn id="39" xr3:uid="{00000000-0010-0000-0100-000027000000}" name="Вер.18"/>
    <tableColumn id="40" xr3:uid="{00000000-0010-0000-0100-000028000000}" name="Жов.18"/>
    <tableColumn id="41" xr3:uid="{00000000-0010-0000-0100-000029000000}" name="Лис.18"/>
    <tableColumn id="42" xr3:uid="{00000000-0010-0000-0100-00002A000000}" name="Гру.18"/>
    <tableColumn id="43" xr3:uid="{00000000-0010-0000-0100-00002B000000}" name="Січ.19"/>
    <tableColumn id="44" xr3:uid="{00000000-0010-0000-0100-00002C000000}" name="Лют.19"/>
    <tableColumn id="45" xr3:uid="{00000000-0010-0000-0100-00002D000000}" name="Бер.19"/>
    <tableColumn id="46" xr3:uid="{00000000-0010-0000-0100-00002E000000}" name="Кві.19"/>
    <tableColumn id="47" xr3:uid="{00000000-0010-0000-0100-00002F000000}" name="Тра.19"/>
    <tableColumn id="48" xr3:uid="{00000000-0010-0000-0100-000030000000}" name="Чер.19"/>
    <tableColumn id="49" xr3:uid="{00000000-0010-0000-0100-000031000000}" name="Лип.19"/>
    <tableColumn id="50" xr3:uid="{00000000-0010-0000-0100-000032000000}" name="Сер.19"/>
    <tableColumn id="51" xr3:uid="{00000000-0010-0000-0100-000033000000}" name="Вер.19"/>
    <tableColumn id="52" xr3:uid="{00000000-0010-0000-0100-000034000000}" name="Жов.19"/>
    <tableColumn id="53" xr3:uid="{00000000-0010-0000-0100-000035000000}" name="Лис.19"/>
    <tableColumn id="54" xr3:uid="{00000000-0010-0000-0100-000036000000}" name="Гру.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CЕС" displayName="ТабCЕС" ref="B3:BD1022" totalsRowShown="0">
  <autoFilter ref="B3:BD1022" xr:uid="{00000000-0009-0000-0100-000003000000}"/>
  <tableColumns count="55">
    <tableColumn id="1" xr3:uid="{00000000-0010-0000-0200-000001000000}" name="Код ринку"/>
    <tableColumn id="2" xr3:uid="{00000000-0010-0000-0200-000002000000}" name="Код ЕДРПОУ"/>
    <tableColumn id="3" xr3:uid="{00000000-0010-0000-0200-000003000000}" name="Тип"/>
    <tableColumn id="55" xr3:uid="{00000000-0010-0000-0200-000037000000}" name="Підтип"/>
    <tableColumn id="4" xr3:uid="{00000000-0010-0000-0200-000004000000}" name="Найменування суб'єкта госпощдарювання" dataDxfId="34"/>
    <tableColumn id="5" xr3:uid="{00000000-0010-0000-0200-000005000000}" name="Об'єкт" dataDxfId="33"/>
    <tableColumn id="6" xr3:uid="{00000000-0010-0000-0200-000006000000}" name="Область"/>
    <tableColumn id="7" xr3:uid="{00000000-0010-0000-0200-000007000000}" name="Район"/>
    <tableColumn id="8" xr3:uid="{00000000-0010-0000-0200-000008000000}" name="Населений пункт"/>
    <tableColumn id="9" xr3:uid="{00000000-0010-0000-0200-000009000000}" name="Місцезнаходження"/>
    <tableColumn id="10" xr3:uid="{00000000-0010-0000-0200-00000A000000}" name="Потужність, МВт" dataDxfId="32"/>
    <tableColumn id="11" xr3:uid="{00000000-0010-0000-0200-00000B000000}" name="Дата встановлення &quot;Зеленого тарифу&quot;" dataDxfId="31"/>
    <tableColumn id="12" xr3:uid="{00000000-0010-0000-0200-00000C000000}" name="Місяць"/>
    <tableColumn id="13" xr3:uid="{00000000-0010-0000-0200-00000D000000}" name="Квартал"/>
    <tableColumn id="14" xr3:uid="{00000000-0010-0000-0200-00000E000000}" name="Рік"/>
    <tableColumn id="15" xr3:uid="{00000000-0010-0000-0200-00000F000000}" name="Зелений Тариф ЕЦ"/>
    <tableColumn id="16" xr3:uid="{00000000-0010-0000-0200-000010000000}" name="% надбавки"/>
    <tableColumn id="17" xr3:uid="{00000000-0010-0000-0200-000011000000}" name="Тариф+ надбавка"/>
    <tableColumn id="18" xr3:uid="{00000000-0010-0000-0200-000012000000}" name="Дата встановлення надбавки" dataDxfId="30"/>
    <tableColumn id="19" xr3:uid="{00000000-0010-0000-0200-000013000000}" name="Січ.17"/>
    <tableColumn id="20" xr3:uid="{00000000-0010-0000-0200-000014000000}" name="Лют.17"/>
    <tableColumn id="21" xr3:uid="{00000000-0010-0000-0200-000015000000}" name="Бер.17"/>
    <tableColumn id="22" xr3:uid="{00000000-0010-0000-0200-000016000000}" name="Кві.17"/>
    <tableColumn id="23" xr3:uid="{00000000-0010-0000-0200-000017000000}" name="Тра.17"/>
    <tableColumn id="24" xr3:uid="{00000000-0010-0000-0200-000018000000}" name="Чер.17"/>
    <tableColumn id="25" xr3:uid="{00000000-0010-0000-0200-000019000000}" name="Лип.17"/>
    <tableColumn id="26" xr3:uid="{00000000-0010-0000-0200-00001A000000}" name="Сер.17"/>
    <tableColumn id="27" xr3:uid="{00000000-0010-0000-0200-00001B000000}" name="Вер.17"/>
    <tableColumn id="28" xr3:uid="{00000000-0010-0000-0200-00001C000000}" name="Жов.17"/>
    <tableColumn id="29" xr3:uid="{00000000-0010-0000-0200-00001D000000}" name="Лис.17"/>
    <tableColumn id="30" xr3:uid="{00000000-0010-0000-0200-00001E000000}" name="Гру.17"/>
    <tableColumn id="31" xr3:uid="{00000000-0010-0000-0200-00001F000000}" name="Січ.18"/>
    <tableColumn id="32" xr3:uid="{00000000-0010-0000-0200-000020000000}" name="Лют.18"/>
    <tableColumn id="33" xr3:uid="{00000000-0010-0000-0200-000021000000}" name="Бер.18"/>
    <tableColumn id="34" xr3:uid="{00000000-0010-0000-0200-000022000000}" name="Кві.18"/>
    <tableColumn id="35" xr3:uid="{00000000-0010-0000-0200-000023000000}" name="Тра.18"/>
    <tableColumn id="36" xr3:uid="{00000000-0010-0000-0200-000024000000}" name="Чер.18"/>
    <tableColumn id="37" xr3:uid="{00000000-0010-0000-0200-000025000000}" name="Лип.18"/>
    <tableColumn id="38" xr3:uid="{00000000-0010-0000-0200-000026000000}" name="Сер.18"/>
    <tableColumn id="39" xr3:uid="{00000000-0010-0000-0200-000027000000}" name="Вер.18"/>
    <tableColumn id="40" xr3:uid="{00000000-0010-0000-0200-000028000000}" name="Жов.18"/>
    <tableColumn id="41" xr3:uid="{00000000-0010-0000-0200-000029000000}" name="Лис.18"/>
    <tableColumn id="42" xr3:uid="{00000000-0010-0000-0200-00002A000000}" name="Гру.18"/>
    <tableColumn id="43" xr3:uid="{00000000-0010-0000-0200-00002B000000}" name="Січ.19"/>
    <tableColumn id="44" xr3:uid="{00000000-0010-0000-0200-00002C000000}" name="Лют.19"/>
    <tableColumn id="45" xr3:uid="{00000000-0010-0000-0200-00002D000000}" name="Бер.19"/>
    <tableColumn id="46" xr3:uid="{00000000-0010-0000-0200-00002E000000}" name="Кві.19"/>
    <tableColumn id="47" xr3:uid="{00000000-0010-0000-0200-00002F000000}" name="Тра.19"/>
    <tableColumn id="48" xr3:uid="{00000000-0010-0000-0200-000030000000}" name="Чер.19"/>
    <tableColumn id="49" xr3:uid="{00000000-0010-0000-0200-000031000000}" name="Лип.19"/>
    <tableColumn id="50" xr3:uid="{00000000-0010-0000-0200-000032000000}" name="Сер.19"/>
    <tableColumn id="51" xr3:uid="{00000000-0010-0000-0200-000033000000}" name="Вер.19"/>
    <tableColumn id="52" xr3:uid="{00000000-0010-0000-0200-000034000000}" name="Жов.19"/>
    <tableColumn id="53" xr3:uid="{00000000-0010-0000-0200-000035000000}" name="Лис.19"/>
    <tableColumn id="54" xr3:uid="{00000000-0010-0000-0200-000036000000}" name="Гру.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мГЕС" displayName="ТабмГЕС" ref="B3:BD172" totalsRowShown="0">
  <autoFilter ref="B3:BD172" xr:uid="{00000000-0009-0000-0100-000004000000}"/>
  <tableColumns count="55">
    <tableColumn id="1" xr3:uid="{00000000-0010-0000-0300-000001000000}" name="Код ринку"/>
    <tableColumn id="2" xr3:uid="{00000000-0010-0000-0300-000002000000}" name="Код ЕДРПОУ"/>
    <tableColumn id="3" xr3:uid="{00000000-0010-0000-0300-000003000000}" name="Тип"/>
    <tableColumn id="55" xr3:uid="{00000000-0010-0000-0300-000037000000}" name="Column1"/>
    <tableColumn id="4" xr3:uid="{00000000-0010-0000-0300-000004000000}" name="Найменування суб'єкта госпощдарювання"/>
    <tableColumn id="5" xr3:uid="{00000000-0010-0000-0300-000005000000}" name="Об'єкт"/>
    <tableColumn id="6" xr3:uid="{00000000-0010-0000-0300-000006000000}" name="Область"/>
    <tableColumn id="7" xr3:uid="{00000000-0010-0000-0300-000007000000}" name="Район"/>
    <tableColumn id="8" xr3:uid="{00000000-0010-0000-0300-000008000000}" name="Населений пункт"/>
    <tableColumn id="9" xr3:uid="{00000000-0010-0000-0300-000009000000}" name="Місцезнаходження"/>
    <tableColumn id="10" xr3:uid="{00000000-0010-0000-0300-00000A000000}" name="Потужність, МВт"/>
    <tableColumn id="11" xr3:uid="{00000000-0010-0000-0300-00000B000000}" name="Дата встановлення &quot;Зеленого тарифу&quot;" dataDxfId="29"/>
    <tableColumn id="12" xr3:uid="{00000000-0010-0000-0300-00000C000000}" name="Місяць"/>
    <tableColumn id="13" xr3:uid="{00000000-0010-0000-0300-00000D000000}" name="Квартал"/>
    <tableColumn id="14" xr3:uid="{00000000-0010-0000-0300-00000E000000}" name="Рік"/>
    <tableColumn id="15" xr3:uid="{00000000-0010-0000-0300-00000F000000}" name="Зелений Тариф ЕЦ"/>
    <tableColumn id="16" xr3:uid="{00000000-0010-0000-0300-000010000000}" name="% надбавки"/>
    <tableColumn id="17" xr3:uid="{00000000-0010-0000-0300-000011000000}" name="Тариф+ надбавка" dataDxfId="28"/>
    <tableColumn id="18" xr3:uid="{00000000-0010-0000-0300-000012000000}" name="Дата встановлення надбавки" dataDxfId="27"/>
    <tableColumn id="19" xr3:uid="{00000000-0010-0000-0300-000013000000}" name="Січ.17"/>
    <tableColumn id="20" xr3:uid="{00000000-0010-0000-0300-000014000000}" name="Лют.17"/>
    <tableColumn id="21" xr3:uid="{00000000-0010-0000-0300-000015000000}" name="Бер.17"/>
    <tableColumn id="22" xr3:uid="{00000000-0010-0000-0300-000016000000}" name="Кві.17"/>
    <tableColumn id="23" xr3:uid="{00000000-0010-0000-0300-000017000000}" name="Тра.17"/>
    <tableColumn id="24" xr3:uid="{00000000-0010-0000-0300-000018000000}" name="Чер.17"/>
    <tableColumn id="25" xr3:uid="{00000000-0010-0000-0300-000019000000}" name="Лип.17"/>
    <tableColumn id="26" xr3:uid="{00000000-0010-0000-0300-00001A000000}" name="Сер.17"/>
    <tableColumn id="27" xr3:uid="{00000000-0010-0000-0300-00001B000000}" name="Вер.17"/>
    <tableColumn id="28" xr3:uid="{00000000-0010-0000-0300-00001C000000}" name="Жов.17"/>
    <tableColumn id="29" xr3:uid="{00000000-0010-0000-0300-00001D000000}" name="Лис.17"/>
    <tableColumn id="30" xr3:uid="{00000000-0010-0000-0300-00001E000000}" name="Гру.17"/>
    <tableColumn id="31" xr3:uid="{00000000-0010-0000-0300-00001F000000}" name="Січ.18"/>
    <tableColumn id="32" xr3:uid="{00000000-0010-0000-0300-000020000000}" name="Лют.18"/>
    <tableColumn id="33" xr3:uid="{00000000-0010-0000-0300-000021000000}" name="Бер.18"/>
    <tableColumn id="34" xr3:uid="{00000000-0010-0000-0300-000022000000}" name="Кві.18"/>
    <tableColumn id="35" xr3:uid="{00000000-0010-0000-0300-000023000000}" name="Тра.18"/>
    <tableColumn id="36" xr3:uid="{00000000-0010-0000-0300-000024000000}" name="Чер.18"/>
    <tableColumn id="37" xr3:uid="{00000000-0010-0000-0300-000025000000}" name="Лип.18"/>
    <tableColumn id="38" xr3:uid="{00000000-0010-0000-0300-000026000000}" name="Сер.18"/>
    <tableColumn id="39" xr3:uid="{00000000-0010-0000-0300-000027000000}" name="Вер.18"/>
    <tableColumn id="40" xr3:uid="{00000000-0010-0000-0300-000028000000}" name="Жов.18"/>
    <tableColumn id="41" xr3:uid="{00000000-0010-0000-0300-000029000000}" name="Лис.18"/>
    <tableColumn id="42" xr3:uid="{00000000-0010-0000-0300-00002A000000}" name="Гру.18"/>
    <tableColumn id="43" xr3:uid="{00000000-0010-0000-0300-00002B000000}" name="Січ.19"/>
    <tableColumn id="44" xr3:uid="{00000000-0010-0000-0300-00002C000000}" name="Лют.19"/>
    <tableColumn id="45" xr3:uid="{00000000-0010-0000-0300-00002D000000}" name="Бер.19"/>
    <tableColumn id="46" xr3:uid="{00000000-0010-0000-0300-00002E000000}" name="Кві.19"/>
    <tableColumn id="47" xr3:uid="{00000000-0010-0000-0300-00002F000000}" name="Тра.19"/>
    <tableColumn id="48" xr3:uid="{00000000-0010-0000-0300-000030000000}" name="Чер.19"/>
    <tableColumn id="49" xr3:uid="{00000000-0010-0000-0300-000031000000}" name="Лип.19"/>
    <tableColumn id="50" xr3:uid="{00000000-0010-0000-0300-000032000000}" name="Сер.19"/>
    <tableColumn id="51" xr3:uid="{00000000-0010-0000-0300-000033000000}" name="Вер.19"/>
    <tableColumn id="52" xr3:uid="{00000000-0010-0000-0300-000034000000}" name="Жов.19"/>
    <tableColumn id="53" xr3:uid="{00000000-0010-0000-0300-000035000000}" name="Лис.19"/>
    <tableColumn id="54" xr3:uid="{00000000-0010-0000-0300-000036000000}" name="Гру.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BP1387"/>
  <sheetViews>
    <sheetView tabSelected="1" topLeftCell="M1" zoomScale="124" zoomScaleNormal="124" workbookViewId="0">
      <selection activeCell="BJ10" sqref="BJ10"/>
    </sheetView>
  </sheetViews>
  <sheetFormatPr defaultRowHeight="12.75" outlineLevelCol="1"/>
  <cols>
    <col min="2" max="2" width="14.5703125" customWidth="1"/>
    <col min="3" max="4" width="11" customWidth="1"/>
    <col min="5" max="5" width="12.42578125" customWidth="1"/>
    <col min="6" max="6" width="12.7109375" customWidth="1"/>
    <col min="7" max="7" width="11" customWidth="1"/>
    <col min="8" max="8" width="49.28515625" style="1" bestFit="1" customWidth="1"/>
    <col min="9" max="9" width="20.140625" customWidth="1"/>
    <col min="10" max="10" width="34.28515625" customWidth="1"/>
    <col min="11" max="11" width="17.7109375" customWidth="1"/>
    <col min="12" max="12" width="14.7109375" customWidth="1"/>
    <col min="13" max="13" width="18.42578125" customWidth="1"/>
    <col min="14" max="14" width="9.5703125" customWidth="1"/>
    <col min="15" max="15" width="10.42578125" customWidth="1"/>
    <col min="17" max="17" width="11" customWidth="1"/>
    <col min="18" max="18" width="13.42578125" customWidth="1"/>
    <col min="19" max="19" width="11.85546875" customWidth="1"/>
    <col min="20" max="20" width="15" style="151" customWidth="1"/>
    <col min="21" max="21" width="0" hidden="1" customWidth="1" outlineLevel="1"/>
    <col min="22" max="23" width="9.140625" hidden="1" customWidth="1" outlineLevel="1"/>
    <col min="24" max="25" width="0" hidden="1" customWidth="1" outlineLevel="1"/>
    <col min="26" max="26" width="9.140625" hidden="1" customWidth="1" outlineLevel="1"/>
    <col min="27" max="27" width="9" hidden="1" customWidth="1" outlineLevel="1"/>
    <col min="28" max="29" width="9.140625" hidden="1" customWidth="1" outlineLevel="1"/>
    <col min="30" max="30" width="9.42578125" hidden="1" customWidth="1" outlineLevel="1"/>
    <col min="31" max="31" width="9" hidden="1" customWidth="1" outlineLevel="1"/>
    <col min="32" max="33" width="0" hidden="1" customWidth="1" outlineLevel="1"/>
    <col min="34" max="35" width="9.140625" hidden="1" customWidth="1" outlineLevel="1"/>
    <col min="36" max="37" width="0" hidden="1" customWidth="1" outlineLevel="1"/>
    <col min="38" max="38" width="9.140625" hidden="1" customWidth="1" outlineLevel="1"/>
    <col min="39" max="39" width="9" hidden="1" customWidth="1" outlineLevel="1"/>
    <col min="40" max="41" width="9.140625" hidden="1" customWidth="1" outlineLevel="1"/>
    <col min="42" max="42" width="9.42578125" hidden="1" customWidth="1" outlineLevel="1"/>
    <col min="43" max="43" width="9" hidden="1" customWidth="1" outlineLevel="1"/>
    <col min="44" max="45" width="0" hidden="1" customWidth="1" outlineLevel="1"/>
    <col min="46" max="47" width="9.140625" hidden="1" customWidth="1" outlineLevel="1"/>
    <col min="48" max="49" width="0" hidden="1" customWidth="1" outlineLevel="1"/>
    <col min="50" max="50" width="9.140625" hidden="1" customWidth="1" outlineLevel="1"/>
    <col min="51" max="51" width="9" hidden="1" customWidth="1" outlineLevel="1"/>
    <col min="52" max="53" width="9.140625" hidden="1" customWidth="1" outlineLevel="1"/>
    <col min="54" max="54" width="9.42578125" hidden="1" customWidth="1" outlineLevel="1"/>
    <col min="55" max="55" width="9" hidden="1" customWidth="1" outlineLevel="1"/>
    <col min="56" max="56" width="0" hidden="1" customWidth="1" outlineLevel="1"/>
    <col min="57" max="57" width="8.85546875" collapsed="1"/>
  </cols>
  <sheetData>
    <row r="2" spans="2:68" ht="13.5" thickBot="1"/>
    <row r="3" spans="2:68" s="2" customFormat="1" ht="52.15" customHeight="1" thickBot="1">
      <c r="B3" s="2" t="s">
        <v>2</v>
      </c>
      <c r="C3" s="2" t="s">
        <v>3244</v>
      </c>
      <c r="D3" s="2" t="s">
        <v>3354</v>
      </c>
      <c r="E3" s="2" t="s">
        <v>3280</v>
      </c>
      <c r="F3" s="2" t="s">
        <v>3281</v>
      </c>
      <c r="G3" s="2" t="s">
        <v>3</v>
      </c>
      <c r="H3" s="2" t="s">
        <v>5</v>
      </c>
      <c r="I3" s="2" t="s">
        <v>6</v>
      </c>
      <c r="J3" s="2" t="s">
        <v>9</v>
      </c>
      <c r="K3" s="3" t="s">
        <v>3298</v>
      </c>
      <c r="L3" s="4" t="s">
        <v>10</v>
      </c>
      <c r="M3" s="5" t="s">
        <v>11</v>
      </c>
      <c r="N3" s="5" t="s">
        <v>12</v>
      </c>
      <c r="O3" s="6" t="s">
        <v>13</v>
      </c>
      <c r="P3" s="3" t="s">
        <v>14</v>
      </c>
      <c r="Q3" s="2" t="s">
        <v>15</v>
      </c>
      <c r="R3" s="3" t="s">
        <v>16</v>
      </c>
      <c r="S3" s="3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3474</v>
      </c>
      <c r="BE3" s="2" t="s">
        <v>3475</v>
      </c>
      <c r="BF3" s="2" t="s">
        <v>3476</v>
      </c>
      <c r="BG3" s="2" t="s">
        <v>3477</v>
      </c>
      <c r="BH3" s="2" t="s">
        <v>3478</v>
      </c>
      <c r="BI3" s="2" t="s">
        <v>3479</v>
      </c>
      <c r="BJ3" s="2" t="s">
        <v>3480</v>
      </c>
      <c r="BK3" s="2" t="s">
        <v>3481</v>
      </c>
      <c r="BL3" s="2" t="s">
        <v>3482</v>
      </c>
      <c r="BM3" s="2" t="s">
        <v>3483</v>
      </c>
      <c r="BN3" s="2" t="s">
        <v>3484</v>
      </c>
      <c r="BO3" s="2" t="s">
        <v>3485</v>
      </c>
      <c r="BP3" s="2" t="s">
        <v>3241</v>
      </c>
    </row>
    <row r="4" spans="2:68" ht="51">
      <c r="B4" t="s">
        <v>54</v>
      </c>
      <c r="D4" t="s">
        <v>3355</v>
      </c>
      <c r="F4" t="s">
        <v>3287</v>
      </c>
      <c r="G4" s="1" t="s">
        <v>55</v>
      </c>
      <c r="H4" t="s">
        <v>56</v>
      </c>
      <c r="J4" s="7">
        <v>4.5</v>
      </c>
      <c r="K4" s="8"/>
      <c r="L4" s="8">
        <v>43613</v>
      </c>
      <c r="M4">
        <v>5</v>
      </c>
      <c r="N4" s="9" t="s">
        <v>57</v>
      </c>
      <c r="O4">
        <v>2019</v>
      </c>
      <c r="P4">
        <v>0.1018</v>
      </c>
      <c r="Q4" s="10">
        <v>0.1</v>
      </c>
      <c r="R4" s="11">
        <f>ROUND(Таб[[#This Row],[Зелений Тариф ЕЦ]]+Таб[[#This Row],[Зелений Тариф ЕЦ]]*Таб[[#This Row],[% надбавки]],4)</f>
        <v>0.112</v>
      </c>
      <c r="S4" s="12">
        <v>43613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D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1748.5348628488377</v>
      </c>
      <c r="BE4" s="1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1333.0357911895303</v>
      </c>
      <c r="BF4" s="1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1475.8610545312658</v>
      </c>
      <c r="BG4" s="1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1149.6870531992236</v>
      </c>
      <c r="BH4" s="1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1059.3081030731926</v>
      </c>
      <c r="BI4" s="1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985.71293723668418</v>
      </c>
      <c r="BJ4" s="1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729.58661359750533</v>
      </c>
      <c r="BK4" s="1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978.89003858210242</v>
      </c>
      <c r="BL4" s="1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1025.1368739417992</v>
      </c>
      <c r="BM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1188.009954972531</v>
      </c>
      <c r="BN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1478.6569796735312</v>
      </c>
      <c r="BO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1691.5219866698731</v>
      </c>
      <c r="BP4">
        <f>SUM(Таб[[#This Row],[1]:[12]])</f>
        <v>14843.942249516076</v>
      </c>
    </row>
    <row r="5" spans="2:68" ht="51">
      <c r="B5" t="s">
        <v>54</v>
      </c>
      <c r="D5" t="s">
        <v>3355</v>
      </c>
      <c r="F5" t="s">
        <v>3287</v>
      </c>
      <c r="G5" s="1" t="s">
        <v>55</v>
      </c>
      <c r="H5" t="s">
        <v>56</v>
      </c>
      <c r="I5" t="s">
        <v>59</v>
      </c>
      <c r="J5" s="7">
        <v>4.5</v>
      </c>
      <c r="K5" s="8"/>
      <c r="L5" s="8">
        <v>43671</v>
      </c>
      <c r="M5">
        <v>7</v>
      </c>
      <c r="N5" s="9" t="s">
        <v>60</v>
      </c>
      <c r="O5">
        <v>2019</v>
      </c>
      <c r="P5">
        <v>0.1018</v>
      </c>
      <c r="Q5" s="10">
        <v>0.1</v>
      </c>
      <c r="R5" s="11">
        <f>ROUND(Таб[[#This Row],[Зелений Тариф ЕЦ]]+Таб[[#This Row],[Зелений Тариф ЕЦ]]*Таб[[#This Row],[% надбавки]],4)</f>
        <v>0.112</v>
      </c>
      <c r="S5" s="12">
        <v>43671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D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1748.5348628488377</v>
      </c>
      <c r="BE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1333.0357911895303</v>
      </c>
      <c r="BF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1475.8610545312658</v>
      </c>
      <c r="BG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1149.6870531992236</v>
      </c>
      <c r="BH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1059.3081030731926</v>
      </c>
      <c r="BI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985.71293723668418</v>
      </c>
      <c r="BJ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729.58661359750533</v>
      </c>
      <c r="BK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978.89003858210242</v>
      </c>
      <c r="BL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1025.1368739417992</v>
      </c>
      <c r="BM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1188.009954972531</v>
      </c>
      <c r="BN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1478.6569796735312</v>
      </c>
      <c r="BO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1691.5219866698731</v>
      </c>
      <c r="BP5">
        <f>SUM(Таб[[#This Row],[1]:[12]])</f>
        <v>14843.942249516076</v>
      </c>
    </row>
    <row r="6" spans="2:68" ht="51">
      <c r="B6" t="s">
        <v>54</v>
      </c>
      <c r="D6" t="s">
        <v>3355</v>
      </c>
      <c r="F6" t="s">
        <v>3287</v>
      </c>
      <c r="G6" s="1" t="s">
        <v>55</v>
      </c>
      <c r="H6" t="s">
        <v>56</v>
      </c>
      <c r="I6" t="s">
        <v>59</v>
      </c>
      <c r="J6" s="7">
        <v>4.5</v>
      </c>
      <c r="K6" s="8"/>
      <c r="L6" s="8">
        <v>43676</v>
      </c>
      <c r="M6">
        <v>7</v>
      </c>
      <c r="N6" s="9" t="s">
        <v>60</v>
      </c>
      <c r="O6">
        <v>2019</v>
      </c>
      <c r="P6">
        <v>0.1018</v>
      </c>
      <c r="Q6" s="10">
        <v>0.1</v>
      </c>
      <c r="R6" s="11">
        <f>ROUND(Таб[[#This Row],[Зелений Тариф ЕЦ]]+Таб[[#This Row],[Зелений Тариф ЕЦ]]*Таб[[#This Row],[% надбавки]],4)</f>
        <v>0.112</v>
      </c>
      <c r="S6" s="12">
        <v>43676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D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1748.5348628488377</v>
      </c>
      <c r="BE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1333.0357911895303</v>
      </c>
      <c r="BF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1475.8610545312658</v>
      </c>
      <c r="BG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1149.6870531992236</v>
      </c>
      <c r="BH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1059.3081030731926</v>
      </c>
      <c r="BI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985.71293723668418</v>
      </c>
      <c r="BJ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729.58661359750533</v>
      </c>
      <c r="BK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978.89003858210242</v>
      </c>
      <c r="BL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1025.1368739417992</v>
      </c>
      <c r="BM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1188.009954972531</v>
      </c>
      <c r="BN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1478.6569796735312</v>
      </c>
      <c r="BO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1691.5219866698731</v>
      </c>
      <c r="BP6">
        <f>SUM(Таб[[#This Row],[1]:[12]])</f>
        <v>14843.942249516076</v>
      </c>
    </row>
    <row r="7" spans="2:68" ht="38.25">
      <c r="B7" t="s">
        <v>54</v>
      </c>
      <c r="G7" s="1" t="s">
        <v>61</v>
      </c>
      <c r="H7" t="s">
        <v>62</v>
      </c>
      <c r="I7" t="s">
        <v>63</v>
      </c>
      <c r="J7" s="7">
        <v>4</v>
      </c>
      <c r="K7" s="8"/>
      <c r="L7" s="8">
        <v>43371</v>
      </c>
      <c r="M7">
        <v>9</v>
      </c>
      <c r="N7" s="9" t="s">
        <v>60</v>
      </c>
      <c r="O7">
        <v>2018</v>
      </c>
      <c r="P7">
        <v>6.7900000000000002E-2</v>
      </c>
      <c r="Q7" s="10"/>
      <c r="R7" s="11">
        <f>ROUND(Таб[[#This Row],[Зелений Тариф ЕЦ]]+Таб[[#This Row],[Зелений Тариф ЕЦ]]*Таб[[#This Row],[% надбавки]],4)</f>
        <v>6.7900000000000002E-2</v>
      </c>
      <c r="S7" s="12"/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0.34399999999999997</v>
      </c>
      <c r="AR7">
        <v>0.20300000000000001</v>
      </c>
      <c r="AS7">
        <v>0.36899999999999999</v>
      </c>
      <c r="AT7">
        <v>0.48</v>
      </c>
      <c r="AU7">
        <v>0.435</v>
      </c>
      <c r="AV7">
        <v>0.17599999999999999</v>
      </c>
      <c r="AW7">
        <v>9.7000000000000003E-2</v>
      </c>
      <c r="AX7">
        <v>8.5999999999999993E-2</v>
      </c>
      <c r="AY7">
        <v>0.187</v>
      </c>
      <c r="BD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1554.253211421189</v>
      </c>
      <c r="BE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1184.9207032795823</v>
      </c>
      <c r="BF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1311.8764929166805</v>
      </c>
      <c r="BG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1021.9440472881986</v>
      </c>
      <c r="BH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941.6072027317266</v>
      </c>
      <c r="BI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876.18927754371907</v>
      </c>
      <c r="BJ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648.52143430889362</v>
      </c>
      <c r="BK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870.12447873964652</v>
      </c>
      <c r="BL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911.23277683715492</v>
      </c>
      <c r="BM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1056.0088488644719</v>
      </c>
      <c r="BN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1314.3617597098055</v>
      </c>
      <c r="BO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1503.5750992621092</v>
      </c>
      <c r="BP7">
        <f>SUM(Таб[[#This Row],[1]:[12]])</f>
        <v>13194.615332903177</v>
      </c>
    </row>
    <row r="8" spans="2:68" ht="25.5">
      <c r="B8" t="s">
        <v>54</v>
      </c>
      <c r="G8" s="1" t="s">
        <v>64</v>
      </c>
      <c r="H8" t="s">
        <v>65</v>
      </c>
      <c r="I8" t="s">
        <v>66</v>
      </c>
      <c r="J8" s="7">
        <v>0.6</v>
      </c>
      <c r="K8" s="8"/>
      <c r="L8" s="8">
        <v>43111</v>
      </c>
      <c r="M8">
        <v>1</v>
      </c>
      <c r="N8" s="9" t="s">
        <v>67</v>
      </c>
      <c r="O8">
        <v>2018</v>
      </c>
      <c r="P8">
        <v>5.8200000000000002E-2</v>
      </c>
      <c r="Q8" s="10"/>
      <c r="R8" s="11">
        <f>ROUND(Таб[[#This Row],[Зелений Тариф ЕЦ]]+Таб[[#This Row],[Зелений Тариф ЕЦ]]*Таб[[#This Row],[% надбавки]],4)</f>
        <v>5.8200000000000002E-2</v>
      </c>
      <c r="S8" s="12"/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0.02</v>
      </c>
      <c r="AG8">
        <v>0.01</v>
      </c>
      <c r="AH8">
        <v>1.7000000000000001E-2</v>
      </c>
      <c r="AI8">
        <v>1.7999999999999999E-2</v>
      </c>
      <c r="AJ8">
        <v>5.0000000000000001E-3</v>
      </c>
      <c r="AK8">
        <v>8.9999999999999993E-3</v>
      </c>
      <c r="AL8">
        <v>0</v>
      </c>
      <c r="AM8">
        <v>0</v>
      </c>
      <c r="AN8">
        <v>0</v>
      </c>
      <c r="AO8">
        <v>2.3E-2</v>
      </c>
      <c r="AP8">
        <v>3.0000000000000001E-3</v>
      </c>
      <c r="AQ8">
        <v>4.7E-2</v>
      </c>
      <c r="AR8">
        <v>4.2999999999999997E-2</v>
      </c>
      <c r="AS8">
        <v>0.04</v>
      </c>
      <c r="AT8">
        <v>6.9000000000000006E-2</v>
      </c>
      <c r="AU8">
        <v>2.1000000000000001E-2</v>
      </c>
      <c r="AV8">
        <v>1.9E-2</v>
      </c>
      <c r="AW8">
        <v>0.01</v>
      </c>
      <c r="AX8">
        <v>2.5000000000000001E-2</v>
      </c>
      <c r="AY8">
        <v>1.4E-2</v>
      </c>
      <c r="BD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233.13798171317833</v>
      </c>
      <c r="BE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177.73810549193735</v>
      </c>
      <c r="BF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196.78147393750206</v>
      </c>
      <c r="BG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153.2916070932298</v>
      </c>
      <c r="BH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141.24108040975898</v>
      </c>
      <c r="BI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131.42839163155787</v>
      </c>
      <c r="BJ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97.278215146334034</v>
      </c>
      <c r="BK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130.51867181094696</v>
      </c>
      <c r="BL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136.68491652557321</v>
      </c>
      <c r="BM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158.40132732967078</v>
      </c>
      <c r="BN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197.1542639564708</v>
      </c>
      <c r="BO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225.53626488931639</v>
      </c>
      <c r="BP8">
        <f>SUM(Таб[[#This Row],[1]:[12]])</f>
        <v>1979.1922999354765</v>
      </c>
    </row>
    <row r="9" spans="2:68" ht="25.5">
      <c r="B9" t="s">
        <v>54</v>
      </c>
      <c r="D9" t="s">
        <v>3356</v>
      </c>
      <c r="E9" t="s">
        <v>3288</v>
      </c>
      <c r="F9" t="s">
        <v>3287</v>
      </c>
      <c r="G9" s="1" t="s">
        <v>68</v>
      </c>
      <c r="H9" t="s">
        <v>69</v>
      </c>
      <c r="I9" t="s">
        <v>70</v>
      </c>
      <c r="J9" s="7">
        <v>199.875</v>
      </c>
      <c r="K9" s="8"/>
      <c r="L9" s="8">
        <v>41256</v>
      </c>
      <c r="M9">
        <v>12</v>
      </c>
      <c r="N9" s="9" t="s">
        <v>71</v>
      </c>
      <c r="O9">
        <v>2012</v>
      </c>
      <c r="P9">
        <v>0.11310000000000001</v>
      </c>
      <c r="Q9" s="10"/>
      <c r="R9" s="11">
        <f>ROUND(Таб[[#This Row],[Зелений Тариф ЕЦ]]+Таб[[#This Row],[Зелений Тариф ЕЦ]]*Таб[[#This Row],[% надбавки]],4)</f>
        <v>0.11310000000000001</v>
      </c>
      <c r="S9" s="12"/>
      <c r="T9">
        <v>51.850999999999999</v>
      </c>
      <c r="U9">
        <v>53.158000000000001</v>
      </c>
      <c r="V9">
        <v>68.708000000000013</v>
      </c>
      <c r="W9">
        <v>44.893999999999977</v>
      </c>
      <c r="X9">
        <v>35.491000000000014</v>
      </c>
      <c r="Y9">
        <v>29.840000000000003</v>
      </c>
      <c r="Z9">
        <v>37.87299999999999</v>
      </c>
      <c r="AA9">
        <v>59.881000000000029</v>
      </c>
      <c r="AB9">
        <v>61.978999999999985</v>
      </c>
      <c r="AC9">
        <v>58.319999999999993</v>
      </c>
      <c r="AD9">
        <v>61.421000000000049</v>
      </c>
      <c r="AE9">
        <v>70.650999999999954</v>
      </c>
      <c r="AF9">
        <v>75.366</v>
      </c>
      <c r="AG9">
        <v>57.326999999999998</v>
      </c>
      <c r="AH9">
        <v>71.869</v>
      </c>
      <c r="AI9">
        <v>54.951999999999998</v>
      </c>
      <c r="AJ9">
        <v>40.576000000000001</v>
      </c>
      <c r="AK9">
        <v>30.416</v>
      </c>
      <c r="AL9">
        <v>25.722999999999999</v>
      </c>
      <c r="AM9">
        <v>53.01</v>
      </c>
      <c r="AN9">
        <v>57.121000000000002</v>
      </c>
      <c r="AO9">
        <v>63.575000000000003</v>
      </c>
      <c r="AP9">
        <v>68.662999999999997</v>
      </c>
      <c r="AQ9">
        <v>65.703000000000003</v>
      </c>
      <c r="AR9">
        <v>71.459000000000003</v>
      </c>
      <c r="AS9">
        <v>57.759</v>
      </c>
      <c r="AT9">
        <v>59.905000000000001</v>
      </c>
      <c r="AU9">
        <v>53.621000000000002</v>
      </c>
      <c r="AV9">
        <v>38.234000000000002</v>
      </c>
      <c r="AW9">
        <v>40.051000000000002</v>
      </c>
      <c r="AX9">
        <v>25.102</v>
      </c>
      <c r="AY9">
        <v>40.945</v>
      </c>
      <c r="BD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77664.09015820254</v>
      </c>
      <c r="BE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59209.00639200164</v>
      </c>
      <c r="BF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65552.828505430371</v>
      </c>
      <c r="BG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51065.266612932173</v>
      </c>
      <c r="BH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47050.934911500968</v>
      </c>
      <c r="BI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43782.082962262713</v>
      </c>
      <c r="BJ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32405.805420622528</v>
      </c>
      <c r="BK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43479.032547021714</v>
      </c>
      <c r="BL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45533.162817581579</v>
      </c>
      <c r="BM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52767.442166696586</v>
      </c>
      <c r="BN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65677.014180499333</v>
      </c>
      <c r="BO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75131.768241253536</v>
      </c>
      <c r="BP9">
        <f>SUM(Таб[[#This Row],[1]:[12]])</f>
        <v>659318.4349160057</v>
      </c>
    </row>
    <row r="10" spans="2:68" ht="114.75">
      <c r="B10" t="s">
        <v>54</v>
      </c>
      <c r="D10" t="s">
        <v>3357</v>
      </c>
      <c r="E10" t="s">
        <v>3283</v>
      </c>
      <c r="F10" t="s">
        <v>3284</v>
      </c>
      <c r="G10" s="1" t="s">
        <v>72</v>
      </c>
      <c r="H10" t="s">
        <v>73</v>
      </c>
      <c r="I10" t="s">
        <v>74</v>
      </c>
      <c r="J10" s="7">
        <v>3.65</v>
      </c>
      <c r="K10" s="8"/>
      <c r="L10" s="8">
        <v>43096</v>
      </c>
      <c r="M10">
        <v>12</v>
      </c>
      <c r="N10" s="9" t="s">
        <v>71</v>
      </c>
      <c r="O10">
        <v>2017</v>
      </c>
      <c r="P10">
        <v>0.1018</v>
      </c>
      <c r="Q10" s="10"/>
      <c r="R10" s="11">
        <f>ROUND(Таб[[#This Row],[Зелений Тариф ЕЦ]]+Таб[[#This Row],[Зелений Тариф ЕЦ]]*Таб[[#This Row],[% надбавки]],4)</f>
        <v>0.1018</v>
      </c>
      <c r="S10" s="12"/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12.988</v>
      </c>
      <c r="AH10">
        <v>15.305999999999999</v>
      </c>
      <c r="AI10">
        <v>12.936999999999999</v>
      </c>
      <c r="AJ10">
        <v>9.9420000000000002</v>
      </c>
      <c r="AK10">
        <v>7.3289999999999997</v>
      </c>
      <c r="AL10">
        <v>6.694</v>
      </c>
      <c r="AM10">
        <v>13.51</v>
      </c>
      <c r="AN10">
        <v>12.24</v>
      </c>
      <c r="AO10">
        <v>16.331</v>
      </c>
      <c r="AP10">
        <v>17.079000000000001</v>
      </c>
      <c r="AQ10">
        <v>19.146000000000001</v>
      </c>
      <c r="AR10">
        <v>20.827999999999999</v>
      </c>
      <c r="AS10">
        <v>23.544</v>
      </c>
      <c r="AT10">
        <v>32.292000000000002</v>
      </c>
      <c r="AU10">
        <v>18.370999999999999</v>
      </c>
      <c r="AV10">
        <v>18.609000000000002</v>
      </c>
      <c r="AW10">
        <v>20.271000000000001</v>
      </c>
      <c r="AX10">
        <v>12.776</v>
      </c>
      <c r="AY10">
        <v>19.16</v>
      </c>
      <c r="BD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1418.2560554218348</v>
      </c>
      <c r="BE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1081.240141742619</v>
      </c>
      <c r="BF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1197.087299786471</v>
      </c>
      <c r="BG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932.52394315048127</v>
      </c>
      <c r="BH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859.21657249270049</v>
      </c>
      <c r="BI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799.5227157586437</v>
      </c>
      <c r="BJ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591.77580880686537</v>
      </c>
      <c r="BK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793.98858684992751</v>
      </c>
      <c r="BL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831.49990886390367</v>
      </c>
      <c r="BM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963.60807458883062</v>
      </c>
      <c r="BN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1199.3551057351974</v>
      </c>
      <c r="BO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1372.0122780766746</v>
      </c>
      <c r="BP10">
        <f>SUM(Таб[[#This Row],[1]:[12]])</f>
        <v>12040.086491274151</v>
      </c>
    </row>
    <row r="11" spans="2:68" ht="114.75">
      <c r="B11" t="s">
        <v>54</v>
      </c>
      <c r="D11" t="s">
        <v>3357</v>
      </c>
      <c r="E11" t="s">
        <v>3283</v>
      </c>
      <c r="F11" t="s">
        <v>3284</v>
      </c>
      <c r="G11" s="1" t="s">
        <v>72</v>
      </c>
      <c r="H11" t="s">
        <v>73</v>
      </c>
      <c r="I11" t="s">
        <v>74</v>
      </c>
      <c r="J11" s="7">
        <v>40.15</v>
      </c>
      <c r="K11" s="8"/>
      <c r="L11" s="8">
        <v>43111</v>
      </c>
      <c r="M11">
        <v>1</v>
      </c>
      <c r="N11" s="9" t="s">
        <v>67</v>
      </c>
      <c r="O11">
        <v>2018</v>
      </c>
      <c r="P11">
        <v>0.1018</v>
      </c>
      <c r="Q11" s="10"/>
      <c r="R11" s="11">
        <f>ROUND(Таб[[#This Row],[Зелений Тариф ЕЦ]]+Таб[[#This Row],[Зелений Тариф ЕЦ]]*Таб[[#This Row],[% надбавки]],4)</f>
        <v>0.1018</v>
      </c>
      <c r="S11" s="12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BD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15600.816609640186</v>
      </c>
      <c r="BE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11893.641559168807</v>
      </c>
      <c r="BF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13167.960297651178</v>
      </c>
      <c r="BG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10257.763374655295</v>
      </c>
      <c r="BH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9451.3822974197064</v>
      </c>
      <c r="BI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8794.7498733450811</v>
      </c>
      <c r="BJ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6509.5338968755195</v>
      </c>
      <c r="BK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8733.8744553492015</v>
      </c>
      <c r="BL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9146.4989975029421</v>
      </c>
      <c r="BM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10599.688820477137</v>
      </c>
      <c r="BN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13192.906163087171</v>
      </c>
      <c r="BO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15092.135058843422</v>
      </c>
      <c r="BP11">
        <f>SUM(Таб[[#This Row],[1]:[12]])</f>
        <v>132440.95140401565</v>
      </c>
    </row>
    <row r="12" spans="2:68" ht="114.75">
      <c r="B12" t="s">
        <v>54</v>
      </c>
      <c r="D12" t="s">
        <v>3357</v>
      </c>
      <c r="E12" t="s">
        <v>3283</v>
      </c>
      <c r="F12" t="s">
        <v>3284</v>
      </c>
      <c r="G12" s="1" t="s">
        <v>72</v>
      </c>
      <c r="H12" t="s">
        <v>73</v>
      </c>
      <c r="I12" t="s">
        <v>74</v>
      </c>
      <c r="J12" s="7">
        <v>28.8</v>
      </c>
      <c r="K12" s="8"/>
      <c r="L12" s="8">
        <v>43476</v>
      </c>
      <c r="M12">
        <v>1</v>
      </c>
      <c r="N12" s="9" t="s">
        <v>67</v>
      </c>
      <c r="O12">
        <v>2019</v>
      </c>
      <c r="P12">
        <v>0.1018</v>
      </c>
      <c r="Q12" s="10"/>
      <c r="R12" s="11">
        <f>ROUND(Таб[[#This Row],[Зелений Тариф ЕЦ]]+Таб[[#This Row],[Зелений Тариф ЕЦ]]*Таб[[#This Row],[% надбавки]],4)</f>
        <v>0.1018</v>
      </c>
      <c r="S12" s="12"/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BD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11190.623122232562</v>
      </c>
      <c r="BE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8531.4290636129936</v>
      </c>
      <c r="BF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9445.5107490000992</v>
      </c>
      <c r="BG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7357.9971404750304</v>
      </c>
      <c r="BH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6779.5718596684328</v>
      </c>
      <c r="BI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6308.5627983147779</v>
      </c>
      <c r="BJ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4669.3543270240343</v>
      </c>
      <c r="BK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6264.8962469254548</v>
      </c>
      <c r="BL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6560.8759932275143</v>
      </c>
      <c r="BM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7603.2637118241973</v>
      </c>
      <c r="BN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9463.4046699106002</v>
      </c>
      <c r="BO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10825.740714687188</v>
      </c>
      <c r="BP12">
        <f>SUM(Таб[[#This Row],[1]:[12]])</f>
        <v>95001.230396902873</v>
      </c>
    </row>
    <row r="13" spans="2:68" ht="51">
      <c r="B13" t="s">
        <v>54</v>
      </c>
      <c r="D13" t="s">
        <v>3357</v>
      </c>
      <c r="E13" t="s">
        <v>3283</v>
      </c>
      <c r="F13" t="s">
        <v>3284</v>
      </c>
      <c r="G13" s="1" t="s">
        <v>75</v>
      </c>
      <c r="H13" t="s">
        <v>73</v>
      </c>
      <c r="I13" t="s">
        <v>76</v>
      </c>
      <c r="J13" s="7">
        <v>12.3</v>
      </c>
      <c r="K13" s="8"/>
      <c r="L13" s="8">
        <v>41718</v>
      </c>
      <c r="M13">
        <v>3</v>
      </c>
      <c r="N13" s="9" t="s">
        <v>67</v>
      </c>
      <c r="O13">
        <v>2014</v>
      </c>
      <c r="P13">
        <v>0.11310000000000001</v>
      </c>
      <c r="Q13" s="10"/>
      <c r="R13" s="11">
        <f>ROUND(Таб[[#This Row],[Зелений Тариф ЕЦ]]+Таб[[#This Row],[Зелений Тариф ЕЦ]]*Таб[[#This Row],[% надбавки]],4)</f>
        <v>0.11310000000000001</v>
      </c>
      <c r="S13" s="12"/>
      <c r="T13">
        <v>9.3409999999999993</v>
      </c>
      <c r="U13">
        <v>9.9530000000000012</v>
      </c>
      <c r="V13">
        <v>9.9319999999999986</v>
      </c>
      <c r="W13">
        <v>9.480000000000004</v>
      </c>
      <c r="X13">
        <v>6.965999999999994</v>
      </c>
      <c r="Y13">
        <v>7.0160000000000053</v>
      </c>
      <c r="Z13">
        <v>7.3939999999999984</v>
      </c>
      <c r="AA13">
        <v>9.8300000000000054</v>
      </c>
      <c r="AB13">
        <v>9.1949999999999932</v>
      </c>
      <c r="AC13">
        <v>11.504999999999995</v>
      </c>
      <c r="AD13">
        <v>9.8460000000000036</v>
      </c>
      <c r="AE13">
        <v>12.122</v>
      </c>
      <c r="AF13">
        <v>12.324</v>
      </c>
      <c r="AG13">
        <v>10.228999999999999</v>
      </c>
      <c r="AH13">
        <v>11.397</v>
      </c>
      <c r="AI13">
        <v>9.1530000000000005</v>
      </c>
      <c r="AJ13">
        <v>7.359</v>
      </c>
      <c r="AK13">
        <v>5.327</v>
      </c>
      <c r="AL13">
        <v>5.6189999999999998</v>
      </c>
      <c r="AM13">
        <v>8.6039999999999992</v>
      </c>
      <c r="AN13">
        <v>7.5279999999999996</v>
      </c>
      <c r="AO13">
        <v>12.231999999999999</v>
      </c>
      <c r="AP13">
        <v>10.811</v>
      </c>
      <c r="AQ13">
        <v>11.138999999999999</v>
      </c>
      <c r="AR13">
        <v>10.962999999999999</v>
      </c>
      <c r="AS13">
        <v>9.5030000000000001</v>
      </c>
      <c r="AT13">
        <v>15.646000000000001</v>
      </c>
      <c r="AU13">
        <v>26.625</v>
      </c>
      <c r="AV13">
        <v>27.338999999999999</v>
      </c>
      <c r="AW13">
        <v>29.175000000000001</v>
      </c>
      <c r="AX13">
        <v>18.707000000000001</v>
      </c>
      <c r="AY13">
        <v>26.94</v>
      </c>
      <c r="BD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4779.3286251201571</v>
      </c>
      <c r="BE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3643.6311625847156</v>
      </c>
      <c r="BF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4034.0202157187923</v>
      </c>
      <c r="BG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3142.4779454112113</v>
      </c>
      <c r="BH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2895.4421484000595</v>
      </c>
      <c r="BI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2694.2820284469367</v>
      </c>
      <c r="BJ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1994.2034104998479</v>
      </c>
      <c r="BK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2675.6327721244133</v>
      </c>
      <c r="BL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2802.0407887742513</v>
      </c>
      <c r="BM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3247.2272102582515</v>
      </c>
      <c r="BN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4041.6624111076521</v>
      </c>
      <c r="BO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4623.4934302309866</v>
      </c>
      <c r="BP13">
        <f>SUM(Таб[[#This Row],[1]:[12]])</f>
        <v>40573.44214867727</v>
      </c>
    </row>
    <row r="14" spans="2:68" ht="51">
      <c r="B14" t="s">
        <v>54</v>
      </c>
      <c r="D14" t="s">
        <v>3357</v>
      </c>
      <c r="E14" t="s">
        <v>3283</v>
      </c>
      <c r="F14" t="s">
        <v>3284</v>
      </c>
      <c r="G14" s="1" t="s">
        <v>75</v>
      </c>
      <c r="H14" t="s">
        <v>73</v>
      </c>
      <c r="I14" t="s">
        <v>76</v>
      </c>
      <c r="J14" s="7">
        <v>9.2249999999999996</v>
      </c>
      <c r="K14" s="8"/>
      <c r="L14" s="8">
        <v>40909</v>
      </c>
      <c r="M14">
        <v>1</v>
      </c>
      <c r="N14" s="9" t="s">
        <v>67</v>
      </c>
      <c r="O14">
        <v>2012</v>
      </c>
      <c r="P14">
        <v>0.11310000000000001</v>
      </c>
      <c r="Q14" s="10"/>
      <c r="R14" s="11">
        <f>ROUND(Таб[[#This Row],[Зелений Тариф ЕЦ]]+Таб[[#This Row],[Зелений Тариф ЕЦ]]*Таб[[#This Row],[% надбавки]],4)</f>
        <v>0.11310000000000001</v>
      </c>
      <c r="S14" s="12"/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BD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3584.4964688401178</v>
      </c>
      <c r="BE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2732.7233719385367</v>
      </c>
      <c r="BF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3025.5151617890942</v>
      </c>
      <c r="BG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2356.8584590584078</v>
      </c>
      <c r="BH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2171.5816113000446</v>
      </c>
      <c r="BI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2020.7115213352022</v>
      </c>
      <c r="BJ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1495.652557874886</v>
      </c>
      <c r="BK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2006.72457909331</v>
      </c>
      <c r="BL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2101.5305915806885</v>
      </c>
      <c r="BM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2435.4204076936885</v>
      </c>
      <c r="BN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3031.2468083307385</v>
      </c>
      <c r="BO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3467.62007267324</v>
      </c>
      <c r="BP14">
        <f>SUM(Таб[[#This Row],[1]:[12]])</f>
        <v>30430.081611507951</v>
      </c>
    </row>
    <row r="15" spans="2:68" ht="51">
      <c r="B15" t="s">
        <v>54</v>
      </c>
      <c r="D15" t="s">
        <v>3357</v>
      </c>
      <c r="E15" t="s">
        <v>3283</v>
      </c>
      <c r="F15" t="s">
        <v>3284</v>
      </c>
      <c r="G15" s="1" t="s">
        <v>75</v>
      </c>
      <c r="H15" t="s">
        <v>73</v>
      </c>
      <c r="I15" t="s">
        <v>77</v>
      </c>
      <c r="J15" s="7">
        <v>9.2249999999999996</v>
      </c>
      <c r="K15" s="8"/>
      <c r="L15" s="8">
        <v>41676</v>
      </c>
      <c r="M15">
        <v>2</v>
      </c>
      <c r="N15" s="9" t="s">
        <v>67</v>
      </c>
      <c r="O15">
        <v>2014</v>
      </c>
      <c r="P15">
        <v>0.11310000000000001</v>
      </c>
      <c r="Q15" s="10"/>
      <c r="R15" s="11">
        <f>ROUND(Таб[[#This Row],[Зелений Тариф ЕЦ]]+Таб[[#This Row],[Зелений Тариф ЕЦ]]*Таб[[#This Row],[% надбавки]],4)</f>
        <v>0.11310000000000001</v>
      </c>
      <c r="S15" s="12"/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BD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3584.4964688401178</v>
      </c>
      <c r="BE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2732.7233719385367</v>
      </c>
      <c r="BF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3025.5151617890942</v>
      </c>
      <c r="BG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2356.8584590584078</v>
      </c>
      <c r="BH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2171.5816113000446</v>
      </c>
      <c r="BI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2020.7115213352022</v>
      </c>
      <c r="BJ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1495.652557874886</v>
      </c>
      <c r="BK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2006.72457909331</v>
      </c>
      <c r="BL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2101.5305915806885</v>
      </c>
      <c r="BM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2435.4204076936885</v>
      </c>
      <c r="BN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3031.2468083307385</v>
      </c>
      <c r="BO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3467.62007267324</v>
      </c>
      <c r="BP15">
        <f>SUM(Таб[[#This Row],[1]:[12]])</f>
        <v>30430.081611507951</v>
      </c>
    </row>
    <row r="16" spans="2:68" ht="51">
      <c r="B16" t="s">
        <v>54</v>
      </c>
      <c r="D16" t="s">
        <v>3357</v>
      </c>
      <c r="E16" t="s">
        <v>3283</v>
      </c>
      <c r="F16" t="s">
        <v>3284</v>
      </c>
      <c r="G16" s="1" t="s">
        <v>75</v>
      </c>
      <c r="H16" t="s">
        <v>73</v>
      </c>
      <c r="I16" t="s">
        <v>74</v>
      </c>
      <c r="J16" s="7">
        <v>3.6</v>
      </c>
      <c r="K16" s="8"/>
      <c r="L16" s="8">
        <v>43476</v>
      </c>
      <c r="M16">
        <v>1</v>
      </c>
      <c r="N16" s="9" t="s">
        <v>67</v>
      </c>
      <c r="O16">
        <v>2019</v>
      </c>
      <c r="P16">
        <v>0.1018</v>
      </c>
      <c r="Q16" s="10"/>
      <c r="R16" s="11">
        <f>ROUND(Таб[[#This Row],[Зелений Тариф ЕЦ]]+Таб[[#This Row],[Зелений Тариф ЕЦ]]*Таб[[#This Row],[% надбавки]],4)</f>
        <v>0.1018</v>
      </c>
      <c r="S16" s="12"/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BD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1398.8278902790703</v>
      </c>
      <c r="BE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1066.4286329516242</v>
      </c>
      <c r="BF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1180.6888436250124</v>
      </c>
      <c r="BG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919.7496425593788</v>
      </c>
      <c r="BH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847.4464824585541</v>
      </c>
      <c r="BI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788.57034978934723</v>
      </c>
      <c r="BJ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583.66929087800429</v>
      </c>
      <c r="BK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783.11203086568185</v>
      </c>
      <c r="BL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820.10949915343929</v>
      </c>
      <c r="BM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950.40796397802467</v>
      </c>
      <c r="BN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1182.925583738825</v>
      </c>
      <c r="BO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1353.2175893358985</v>
      </c>
      <c r="BP16">
        <f>SUM(Таб[[#This Row],[1]:[12]])</f>
        <v>11875.153799612859</v>
      </c>
    </row>
    <row r="17" spans="2:68" ht="51">
      <c r="B17" t="s">
        <v>54</v>
      </c>
      <c r="D17" t="s">
        <v>3357</v>
      </c>
      <c r="E17" t="s">
        <v>3283</v>
      </c>
      <c r="F17" t="s">
        <v>3284</v>
      </c>
      <c r="G17" s="1" t="s">
        <v>75</v>
      </c>
      <c r="H17" t="s">
        <v>73</v>
      </c>
      <c r="I17" t="s">
        <v>74</v>
      </c>
      <c r="J17" s="7">
        <v>64.8</v>
      </c>
      <c r="K17" s="8"/>
      <c r="L17" s="8">
        <v>43543</v>
      </c>
      <c r="M17">
        <v>3</v>
      </c>
      <c r="N17" s="9" t="s">
        <v>67</v>
      </c>
      <c r="O17">
        <v>2019</v>
      </c>
      <c r="P17">
        <v>0.1018</v>
      </c>
      <c r="Q17" s="10"/>
      <c r="R17" s="11">
        <f>ROUND(Таб[[#This Row],[Зелений Тариф ЕЦ]]+Таб[[#This Row],[Зелений Тариф ЕЦ]]*Таб[[#This Row],[% надбавки]],4)</f>
        <v>0.1018</v>
      </c>
      <c r="S17" s="12"/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D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25178.902025023264</v>
      </c>
      <c r="BE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19195.715393129234</v>
      </c>
      <c r="BF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21252.399185250222</v>
      </c>
      <c r="BG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16555.493566068817</v>
      </c>
      <c r="BH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15254.03668425397</v>
      </c>
      <c r="BI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14194.26629620825</v>
      </c>
      <c r="BJ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10506.047235804077</v>
      </c>
      <c r="BK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14096.016555582273</v>
      </c>
      <c r="BL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14761.970984761909</v>
      </c>
      <c r="BM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17107.343351604446</v>
      </c>
      <c r="BN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21292.660507298846</v>
      </c>
      <c r="BO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24357.916608046173</v>
      </c>
      <c r="BP17">
        <f>SUM(Таб[[#This Row],[1]:[12]])</f>
        <v>213752.7683930315</v>
      </c>
    </row>
    <row r="18" spans="2:68" ht="38.25">
      <c r="B18" s="13" t="s">
        <v>78</v>
      </c>
      <c r="C18" s="13"/>
      <c r="D18" s="13"/>
      <c r="E18" s="13"/>
      <c r="F18" s="13"/>
      <c r="G18" s="14" t="s">
        <v>79</v>
      </c>
      <c r="H18" s="13" t="s">
        <v>56</v>
      </c>
      <c r="I18" s="13" t="s">
        <v>80</v>
      </c>
      <c r="J18" s="15">
        <v>30.53</v>
      </c>
      <c r="K18" s="16"/>
      <c r="L18" s="16">
        <v>40026</v>
      </c>
      <c r="M18" s="13">
        <v>8</v>
      </c>
      <c r="N18" s="17" t="s">
        <v>60</v>
      </c>
      <c r="O18" s="13">
        <v>2009</v>
      </c>
      <c r="P18" s="13">
        <v>0.11310000000000001</v>
      </c>
      <c r="Q18" s="18"/>
      <c r="R18" s="19">
        <f>ROUND(Таб[[#This Row],[Зелений Тариф ЕЦ]]+Таб[[#This Row],[Зелений Тариф ЕЦ]]*Таб[[#This Row],[% надбавки]],4)</f>
        <v>0.11310000000000001</v>
      </c>
      <c r="S18" s="20"/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3.0249999999999999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/>
      <c r="BA18" s="13"/>
      <c r="BB18" s="13"/>
      <c r="BC18" s="13"/>
      <c r="BD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8">
        <f>SUM(Таб[[#This Row],[1]:[12]])</f>
        <v>0</v>
      </c>
    </row>
    <row r="19" spans="2:68" ht="63.75">
      <c r="B19" t="s">
        <v>54</v>
      </c>
      <c r="D19" t="s">
        <v>3355</v>
      </c>
      <c r="F19" t="s">
        <v>3287</v>
      </c>
      <c r="G19" s="1" t="s">
        <v>81</v>
      </c>
      <c r="H19" t="s">
        <v>82</v>
      </c>
      <c r="I19" t="s">
        <v>83</v>
      </c>
      <c r="J19" s="7">
        <v>5</v>
      </c>
      <c r="K19" s="8"/>
      <c r="L19" s="8">
        <v>42941</v>
      </c>
      <c r="M19">
        <v>7</v>
      </c>
      <c r="N19" s="9" t="s">
        <v>60</v>
      </c>
      <c r="O19">
        <v>2017</v>
      </c>
      <c r="P19">
        <v>0.11310000000000001</v>
      </c>
      <c r="Q19" s="10"/>
      <c r="R19" s="11">
        <f>ROUND(Таб[[#This Row],[Зелений Тариф ЕЦ]]+Таб[[#This Row],[Зелений Тариф ЕЦ]]*Таб[[#This Row],[% надбавки]],4)</f>
        <v>0.11310000000000001</v>
      </c>
      <c r="S19" s="12"/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1.302</v>
      </c>
      <c r="AC19">
        <v>1.7439999999999998</v>
      </c>
      <c r="AD19">
        <v>1.4739999999999998</v>
      </c>
      <c r="AE19">
        <v>2.0850000000000009</v>
      </c>
      <c r="AF19">
        <v>1.7569999999999999</v>
      </c>
      <c r="AG19">
        <v>1.474</v>
      </c>
      <c r="AH19">
        <v>1.6830000000000001</v>
      </c>
      <c r="AI19">
        <v>1.444</v>
      </c>
      <c r="AJ19">
        <v>1.131</v>
      </c>
      <c r="AK19">
        <v>0.82799999999999996</v>
      </c>
      <c r="AL19">
        <v>0.77</v>
      </c>
      <c r="AM19">
        <v>1.0529999999999999</v>
      </c>
      <c r="AN19">
        <v>1.145</v>
      </c>
      <c r="AO19">
        <v>1.8540000000000001</v>
      </c>
      <c r="AP19">
        <v>1.4670000000000001</v>
      </c>
      <c r="AQ19">
        <v>1.7030000000000001</v>
      </c>
      <c r="AR19">
        <v>1.7709999999999999</v>
      </c>
      <c r="AS19">
        <v>1.413</v>
      </c>
      <c r="AT19">
        <v>1.7669999999999999</v>
      </c>
      <c r="AU19">
        <v>0.94399999999999995</v>
      </c>
      <c r="AV19">
        <v>0.88700000000000001</v>
      </c>
      <c r="AW19">
        <v>1.1319999999999999</v>
      </c>
      <c r="AX19">
        <v>1.048</v>
      </c>
      <c r="AY19">
        <v>1.1659999999999999</v>
      </c>
      <c r="BD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1942.8165142764865</v>
      </c>
      <c r="BE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1481.1508790994781</v>
      </c>
      <c r="BF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1639.845616145851</v>
      </c>
      <c r="BG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1277.4300591102483</v>
      </c>
      <c r="BH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1177.0090034146583</v>
      </c>
      <c r="BI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1095.2365969296488</v>
      </c>
      <c r="BJ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810.65179288611716</v>
      </c>
      <c r="BK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1087.6555984245581</v>
      </c>
      <c r="BL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1139.0409710464435</v>
      </c>
      <c r="BM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1320.01106108059</v>
      </c>
      <c r="BN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1642.9521996372569</v>
      </c>
      <c r="BO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1879.4688740776369</v>
      </c>
      <c r="BP19">
        <f>SUM(Таб[[#This Row],[1]:[12]])</f>
        <v>16493.269166128972</v>
      </c>
    </row>
    <row r="20" spans="2:68" ht="63.75">
      <c r="B20" t="s">
        <v>54</v>
      </c>
      <c r="D20" t="s">
        <v>3355</v>
      </c>
      <c r="F20" t="s">
        <v>3287</v>
      </c>
      <c r="G20" s="1" t="s">
        <v>81</v>
      </c>
      <c r="H20" t="s">
        <v>82</v>
      </c>
      <c r="I20" t="s">
        <v>83</v>
      </c>
      <c r="J20" s="7">
        <v>4.5</v>
      </c>
      <c r="K20" s="8"/>
      <c r="L20" s="8">
        <v>43762</v>
      </c>
      <c r="M20">
        <v>10</v>
      </c>
      <c r="N20" s="9" t="s">
        <v>71</v>
      </c>
      <c r="O20">
        <v>2019</v>
      </c>
      <c r="P20">
        <v>0.1018</v>
      </c>
      <c r="Q20" s="10">
        <v>0.1</v>
      </c>
      <c r="R20" s="11">
        <f>ROUND(Таб[[#This Row],[Зелений Тариф ЕЦ]]+Таб[[#This Row],[Зелений Тариф ЕЦ]]*Таб[[#This Row],[% надбавки]],4)</f>
        <v>0.112</v>
      </c>
      <c r="S20" s="12">
        <v>43762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BD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1748.5348628488377</v>
      </c>
      <c r="BE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1333.0357911895303</v>
      </c>
      <c r="BF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1475.8610545312658</v>
      </c>
      <c r="BG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1149.6870531992236</v>
      </c>
      <c r="BH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1059.3081030731926</v>
      </c>
      <c r="BI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985.71293723668418</v>
      </c>
      <c r="BJ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729.58661359750533</v>
      </c>
      <c r="BK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978.89003858210242</v>
      </c>
      <c r="BL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1025.1368739417992</v>
      </c>
      <c r="BM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1188.009954972531</v>
      </c>
      <c r="BN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1478.6569796735312</v>
      </c>
      <c r="BO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1691.5219866698731</v>
      </c>
      <c r="BP20">
        <f>SUM(Таб[[#This Row],[1]:[12]])</f>
        <v>14843.942249516076</v>
      </c>
    </row>
    <row r="21" spans="2:68" ht="63.75">
      <c r="B21" t="s">
        <v>54</v>
      </c>
      <c r="D21" t="s">
        <v>3355</v>
      </c>
      <c r="F21" t="s">
        <v>3287</v>
      </c>
      <c r="G21" s="1" t="s">
        <v>81</v>
      </c>
      <c r="H21" t="s">
        <v>82</v>
      </c>
      <c r="I21" t="s">
        <v>83</v>
      </c>
      <c r="J21" s="7">
        <v>4.8</v>
      </c>
      <c r="K21" s="8">
        <v>43792</v>
      </c>
      <c r="L21" s="8">
        <v>43858</v>
      </c>
      <c r="M21">
        <v>1</v>
      </c>
      <c r="N21" s="9" t="s">
        <v>67</v>
      </c>
      <c r="O21">
        <v>2020</v>
      </c>
      <c r="P21">
        <v>0.1018</v>
      </c>
      <c r="Q21" s="10">
        <v>0.1</v>
      </c>
      <c r="R21" s="11">
        <f>ROUND(Таб[[#This Row],[Зелений Тариф ЕЦ]]+Таб[[#This Row],[Зелений Тариф ЕЦ]]*Таб[[#This Row],[% надбавки]],4)</f>
        <v>0.112</v>
      </c>
      <c r="S21" s="12">
        <v>43858</v>
      </c>
      <c r="T21"/>
      <c r="BD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1865.1038537054267</v>
      </c>
      <c r="BE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1421.9048439354988</v>
      </c>
      <c r="BF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1574.2517915000165</v>
      </c>
      <c r="BG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1226.3328567458384</v>
      </c>
      <c r="BH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1129.9286432780718</v>
      </c>
      <c r="BI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1051.427133052463</v>
      </c>
      <c r="BJ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778.22572117067227</v>
      </c>
      <c r="BK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1044.1493744875756</v>
      </c>
      <c r="BL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1093.4793322045857</v>
      </c>
      <c r="BM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1267.2106186373662</v>
      </c>
      <c r="BN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1577.2341116517664</v>
      </c>
      <c r="BO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1804.2901191145311</v>
      </c>
      <c r="BP21">
        <f>SUM(Таб[[#This Row],[1]:[12]])</f>
        <v>15833.538399483812</v>
      </c>
    </row>
    <row r="22" spans="2:68" ht="63.75">
      <c r="B22" s="13" t="s">
        <v>78</v>
      </c>
      <c r="C22" s="13"/>
      <c r="D22" s="13" t="s">
        <v>3355</v>
      </c>
      <c r="E22" s="13"/>
      <c r="F22" s="13" t="s">
        <v>3287</v>
      </c>
      <c r="G22" s="14" t="s">
        <v>84</v>
      </c>
      <c r="H22" s="13" t="s">
        <v>85</v>
      </c>
      <c r="I22" s="13" t="s">
        <v>86</v>
      </c>
      <c r="J22" s="15">
        <v>25</v>
      </c>
      <c r="K22" s="16"/>
      <c r="L22" s="16">
        <v>41501</v>
      </c>
      <c r="M22" s="13">
        <v>8</v>
      </c>
      <c r="N22" s="17" t="s">
        <v>60</v>
      </c>
      <c r="O22" s="13">
        <v>2013</v>
      </c>
      <c r="P22" s="13">
        <v>0.11310000000000001</v>
      </c>
      <c r="Q22" s="18"/>
      <c r="R22" s="19">
        <f>ROUND(Таб[[#This Row],[Зелений Тариф ЕЦ]]+Таб[[#This Row],[Зелений Тариф ЕЦ]]*Таб[[#This Row],[% надбавки]],4)</f>
        <v>0.11310000000000001</v>
      </c>
      <c r="S22" s="20"/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/>
      <c r="BA22" s="13"/>
      <c r="BB22" s="13"/>
      <c r="BC22" s="13"/>
      <c r="BD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22">
        <f>SUM(Таб[[#This Row],[1]:[12]])</f>
        <v>0</v>
      </c>
    </row>
    <row r="23" spans="2:68" ht="63.75">
      <c r="B23" s="13" t="s">
        <v>78</v>
      </c>
      <c r="C23" s="13"/>
      <c r="D23" s="13" t="s">
        <v>3355</v>
      </c>
      <c r="E23" s="13"/>
      <c r="F23" s="13" t="s">
        <v>3287</v>
      </c>
      <c r="G23" s="14" t="s">
        <v>87</v>
      </c>
      <c r="H23" s="13" t="s">
        <v>85</v>
      </c>
      <c r="I23" s="13" t="s">
        <v>88</v>
      </c>
      <c r="J23" s="15">
        <v>25</v>
      </c>
      <c r="K23" s="16"/>
      <c r="L23" s="16">
        <v>41697</v>
      </c>
      <c r="M23" s="13">
        <v>2</v>
      </c>
      <c r="N23" s="17" t="s">
        <v>67</v>
      </c>
      <c r="O23" s="13">
        <v>2014</v>
      </c>
      <c r="P23" s="13">
        <v>0.11310000000000001</v>
      </c>
      <c r="Q23" s="18"/>
      <c r="R23" s="19">
        <f>ROUND(Таб[[#This Row],[Зелений Тариф ЕЦ]]+Таб[[#This Row],[Зелений Тариф ЕЦ]]*Таб[[#This Row],[% надбавки]],4)</f>
        <v>0.11310000000000001</v>
      </c>
      <c r="S23" s="20"/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/>
      <c r="BA23" s="13"/>
      <c r="BB23" s="13"/>
      <c r="BC23" s="13"/>
      <c r="BD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23">
        <f>SUM(Таб[[#This Row],[1]:[12]])</f>
        <v>0</v>
      </c>
    </row>
    <row r="24" spans="2:68" ht="63.75">
      <c r="B24" s="13" t="s">
        <v>78</v>
      </c>
      <c r="C24" s="13"/>
      <c r="D24" s="13" t="s">
        <v>3355</v>
      </c>
      <c r="E24" s="13"/>
      <c r="F24" s="13" t="s">
        <v>3287</v>
      </c>
      <c r="G24" s="14" t="s">
        <v>89</v>
      </c>
      <c r="H24" s="13" t="s">
        <v>56</v>
      </c>
      <c r="I24" s="13" t="s">
        <v>80</v>
      </c>
      <c r="J24" s="15">
        <v>57.5</v>
      </c>
      <c r="K24" s="16"/>
      <c r="L24" s="16">
        <v>40703</v>
      </c>
      <c r="M24" s="13">
        <v>6</v>
      </c>
      <c r="N24" s="17" t="s">
        <v>57</v>
      </c>
      <c r="O24" s="13">
        <v>2011</v>
      </c>
      <c r="P24" s="13">
        <v>0.11310000000000001</v>
      </c>
      <c r="Q24" s="18"/>
      <c r="R24" s="19">
        <f>ROUND(Таб[[#This Row],[Зелений Тариф ЕЦ]]+Таб[[#This Row],[Зелений Тариф ЕЦ]]*Таб[[#This Row],[% надбавки]],4)</f>
        <v>0.11310000000000001</v>
      </c>
      <c r="S24" s="20"/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3.0000000000000001E-3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/>
      <c r="BA24" s="13"/>
      <c r="BB24" s="13"/>
      <c r="BC24" s="13"/>
      <c r="BD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24">
        <f>SUM(Таб[[#This Row],[1]:[12]])</f>
        <v>0</v>
      </c>
    </row>
    <row r="25" spans="2:68" ht="63.75">
      <c r="B25" t="s">
        <v>54</v>
      </c>
      <c r="D25" t="s">
        <v>3355</v>
      </c>
      <c r="F25" t="s">
        <v>3287</v>
      </c>
      <c r="G25" s="1" t="s">
        <v>90</v>
      </c>
      <c r="H25" t="s">
        <v>82</v>
      </c>
      <c r="I25" t="s">
        <v>91</v>
      </c>
      <c r="J25" s="7">
        <v>3.5</v>
      </c>
      <c r="K25" s="8"/>
      <c r="L25" s="8">
        <v>43613</v>
      </c>
      <c r="M25">
        <v>5</v>
      </c>
      <c r="N25" s="9" t="s">
        <v>57</v>
      </c>
      <c r="O25">
        <v>2019</v>
      </c>
      <c r="P25">
        <v>0.1018</v>
      </c>
      <c r="Q25" s="10">
        <v>0.1</v>
      </c>
      <c r="R25" s="11">
        <f>ROUND(Таб[[#This Row],[Зелений Тариф ЕЦ]]+Таб[[#This Row],[Зелений Тариф ЕЦ]]*Таб[[#This Row],[% надбавки]],4)</f>
        <v>0.112</v>
      </c>
      <c r="S25" s="12">
        <v>43613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D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1359.9715599935405</v>
      </c>
      <c r="BE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1036.8056153696343</v>
      </c>
      <c r="BF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1147.8919313020954</v>
      </c>
      <c r="BG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894.20104137717385</v>
      </c>
      <c r="BH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823.90630239026086</v>
      </c>
      <c r="BI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766.66561785075419</v>
      </c>
      <c r="BJ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567.45625502028201</v>
      </c>
      <c r="BK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761.35891889719062</v>
      </c>
      <c r="BL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797.32867973251041</v>
      </c>
      <c r="BM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924.00774275641288</v>
      </c>
      <c r="BN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1150.0665397460798</v>
      </c>
      <c r="BO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1315.6282118543456</v>
      </c>
      <c r="BP25">
        <f>SUM(Таб[[#This Row],[1]:[12]])</f>
        <v>11545.288416290281</v>
      </c>
    </row>
    <row r="26" spans="2:68" ht="63.75">
      <c r="B26" t="s">
        <v>54</v>
      </c>
      <c r="D26" t="s">
        <v>3355</v>
      </c>
      <c r="F26" t="s">
        <v>3287</v>
      </c>
      <c r="G26" s="1" t="s">
        <v>90</v>
      </c>
      <c r="H26" t="s">
        <v>82</v>
      </c>
      <c r="J26" s="7">
        <v>3.5</v>
      </c>
      <c r="K26" s="8"/>
      <c r="L26" s="8">
        <v>43769</v>
      </c>
      <c r="M26">
        <v>10</v>
      </c>
      <c r="N26" s="9" t="s">
        <v>71</v>
      </c>
      <c r="O26">
        <v>2019</v>
      </c>
      <c r="P26">
        <v>0.1018</v>
      </c>
      <c r="Q26" s="10">
        <v>0.1</v>
      </c>
      <c r="R26" s="11">
        <f>ROUND(Таб[[#This Row],[Зелений Тариф ЕЦ]]+Таб[[#This Row],[Зелений Тариф ЕЦ]]*Таб[[#This Row],[% надбавки]],4)</f>
        <v>0.112</v>
      </c>
      <c r="S26" s="12">
        <v>43769</v>
      </c>
      <c r="T26"/>
      <c r="BD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1359.9715599935405</v>
      </c>
      <c r="BE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1036.8056153696343</v>
      </c>
      <c r="BF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1147.8919313020954</v>
      </c>
      <c r="BG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894.20104137717385</v>
      </c>
      <c r="BH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823.90630239026086</v>
      </c>
      <c r="BI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766.66561785075419</v>
      </c>
      <c r="BJ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567.45625502028201</v>
      </c>
      <c r="BK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761.35891889719062</v>
      </c>
      <c r="BL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797.32867973251041</v>
      </c>
      <c r="BM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924.00774275641288</v>
      </c>
      <c r="BN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1150.0665397460798</v>
      </c>
      <c r="BO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1315.6282118543456</v>
      </c>
      <c r="BP26">
        <f>SUM(Таб[[#This Row],[1]:[12]])</f>
        <v>11545.288416290281</v>
      </c>
    </row>
    <row r="27" spans="2:68" ht="63.75">
      <c r="B27" t="s">
        <v>54</v>
      </c>
      <c r="D27" t="s">
        <v>3355</v>
      </c>
      <c r="F27" t="s">
        <v>3287</v>
      </c>
      <c r="G27" s="1" t="s">
        <v>90</v>
      </c>
      <c r="H27" t="s">
        <v>82</v>
      </c>
      <c r="J27" s="7">
        <v>3.5</v>
      </c>
      <c r="K27" s="8">
        <v>43786</v>
      </c>
      <c r="L27" s="8">
        <v>43844</v>
      </c>
      <c r="M27">
        <v>1</v>
      </c>
      <c r="N27" s="9" t="s">
        <v>67</v>
      </c>
      <c r="O27">
        <v>2020</v>
      </c>
      <c r="P27">
        <v>0.1018</v>
      </c>
      <c r="Q27" s="10">
        <v>0.1</v>
      </c>
      <c r="R27" s="11">
        <f>ROUND(Таб[[#This Row],[Зелений Тариф ЕЦ]]+Таб[[#This Row],[Зелений Тариф ЕЦ]]*Таб[[#This Row],[% надбавки]],4)</f>
        <v>0.112</v>
      </c>
      <c r="S27" s="12">
        <v>43844</v>
      </c>
      <c r="T27"/>
      <c r="BD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1359.9715599935405</v>
      </c>
      <c r="BE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1036.8056153696343</v>
      </c>
      <c r="BF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1147.8919313020954</v>
      </c>
      <c r="BG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894.20104137717385</v>
      </c>
      <c r="BH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823.90630239026086</v>
      </c>
      <c r="BI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766.66561785075419</v>
      </c>
      <c r="BJ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567.45625502028201</v>
      </c>
      <c r="BK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761.35891889719062</v>
      </c>
      <c r="BL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797.32867973251041</v>
      </c>
      <c r="BM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924.00774275641288</v>
      </c>
      <c r="BN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1150.0665397460798</v>
      </c>
      <c r="BO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1315.6282118543456</v>
      </c>
      <c r="BP27">
        <f>SUM(Таб[[#This Row],[1]:[12]])</f>
        <v>11545.288416290281</v>
      </c>
    </row>
    <row r="28" spans="2:68" ht="63.75">
      <c r="B28" t="s">
        <v>54</v>
      </c>
      <c r="D28" t="s">
        <v>3355</v>
      </c>
      <c r="F28" t="s">
        <v>3287</v>
      </c>
      <c r="G28" s="1" t="s">
        <v>92</v>
      </c>
      <c r="H28" t="s">
        <v>82</v>
      </c>
      <c r="I28" t="s">
        <v>91</v>
      </c>
      <c r="J28" s="7">
        <v>30</v>
      </c>
      <c r="K28" s="8"/>
      <c r="L28" s="8">
        <v>40909</v>
      </c>
      <c r="M28">
        <v>1</v>
      </c>
      <c r="N28" s="9" t="s">
        <v>67</v>
      </c>
      <c r="O28">
        <v>2012</v>
      </c>
      <c r="P28">
        <v>0.11310000000000001</v>
      </c>
      <c r="Q28" s="10"/>
      <c r="R28" s="11">
        <f>ROUND(Таб[[#This Row],[Зелений Тариф ЕЦ]]+Таб[[#This Row],[Зелений Тариф ЕЦ]]*Таб[[#This Row],[% надбавки]],4)</f>
        <v>0.11310000000000001</v>
      </c>
      <c r="S28" s="12"/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84.554000000000002</v>
      </c>
      <c r="AA28">
        <v>11.128</v>
      </c>
      <c r="AB28">
        <v>10.420000000000002</v>
      </c>
      <c r="AC28">
        <v>13.507999999999996</v>
      </c>
      <c r="AD28">
        <v>10.753</v>
      </c>
      <c r="AE28">
        <v>13.498999999999995</v>
      </c>
      <c r="AF28">
        <v>12.151999999999999</v>
      </c>
      <c r="AG28">
        <v>9.9689999999999994</v>
      </c>
      <c r="AH28">
        <v>11.789</v>
      </c>
      <c r="AI28">
        <v>10.125</v>
      </c>
      <c r="AJ28">
        <v>9.0969999999999995</v>
      </c>
      <c r="AK28">
        <v>7.9429999999999996</v>
      </c>
      <c r="AL28">
        <v>6.2530000000000001</v>
      </c>
      <c r="AM28">
        <v>8.1829999999999998</v>
      </c>
      <c r="AN28">
        <v>9.5359999999999996</v>
      </c>
      <c r="AO28">
        <v>14.821</v>
      </c>
      <c r="AP28">
        <v>10.586</v>
      </c>
      <c r="AQ28">
        <v>14.276999999999999</v>
      </c>
      <c r="AR28">
        <v>14.711</v>
      </c>
      <c r="AS28">
        <v>13.323</v>
      </c>
      <c r="AT28">
        <v>13.528</v>
      </c>
      <c r="AU28">
        <v>7.48</v>
      </c>
      <c r="AV28">
        <v>7.3659999999999997</v>
      </c>
      <c r="AW28">
        <v>9.2449999999999992</v>
      </c>
      <c r="AX28">
        <v>8.1280000000000001</v>
      </c>
      <c r="AY28">
        <v>9.3480000000000008</v>
      </c>
      <c r="BD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11656.899085658919</v>
      </c>
      <c r="BE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8886.9052745968693</v>
      </c>
      <c r="BF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9839.0736968751025</v>
      </c>
      <c r="BG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7664.5803546614898</v>
      </c>
      <c r="BH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7062.0540204879499</v>
      </c>
      <c r="BI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6571.419581577893</v>
      </c>
      <c r="BJ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4863.9107573167021</v>
      </c>
      <c r="BK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6525.933590547349</v>
      </c>
      <c r="BL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6834.2458262786604</v>
      </c>
      <c r="BM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7920.0663664835402</v>
      </c>
      <c r="BN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9857.7131978235411</v>
      </c>
      <c r="BO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11276.81324446582</v>
      </c>
      <c r="BP28">
        <f>SUM(Таб[[#This Row],[1]:[12]])</f>
        <v>98959.614996773846</v>
      </c>
    </row>
    <row r="29" spans="2:68" ht="63.75">
      <c r="B29" t="s">
        <v>54</v>
      </c>
      <c r="D29" t="s">
        <v>3355</v>
      </c>
      <c r="F29" t="s">
        <v>3287</v>
      </c>
      <c r="G29" s="1" t="s">
        <v>92</v>
      </c>
      <c r="H29" t="s">
        <v>82</v>
      </c>
      <c r="I29" t="s">
        <v>93</v>
      </c>
      <c r="J29" s="7">
        <v>12.5</v>
      </c>
      <c r="K29" s="8"/>
      <c r="L29" s="8">
        <v>41214</v>
      </c>
      <c r="M29">
        <v>11</v>
      </c>
      <c r="N29" s="9" t="s">
        <v>71</v>
      </c>
      <c r="O29">
        <v>2012</v>
      </c>
      <c r="P29">
        <v>0.11310000000000001</v>
      </c>
      <c r="Q29" s="10"/>
      <c r="R29" s="11">
        <f>ROUND(Таб[[#This Row],[Зелений Тариф ЕЦ]]+Таб[[#This Row],[Зелений Тариф ЕЦ]]*Таб[[#This Row],[% надбавки]],4)</f>
        <v>0.11310000000000001</v>
      </c>
      <c r="S29" s="12"/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D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4857.0412856912162</v>
      </c>
      <c r="BE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3702.8771977486949</v>
      </c>
      <c r="BF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4099.6140403646259</v>
      </c>
      <c r="BG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3193.5751477756212</v>
      </c>
      <c r="BH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2942.5225085366455</v>
      </c>
      <c r="BI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2738.0914923241226</v>
      </c>
      <c r="BJ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2026.6294822152927</v>
      </c>
      <c r="BK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2719.1389960613956</v>
      </c>
      <c r="BL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2847.6024276161088</v>
      </c>
      <c r="BM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3300.0276527014748</v>
      </c>
      <c r="BN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4107.3804990931421</v>
      </c>
      <c r="BO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4698.672185194092</v>
      </c>
      <c r="BP29">
        <f>SUM(Таб[[#This Row],[1]:[12]])</f>
        <v>41233.172915322422</v>
      </c>
    </row>
    <row r="30" spans="2:68" ht="63.75">
      <c r="B30" t="s">
        <v>54</v>
      </c>
      <c r="D30" t="s">
        <v>3355</v>
      </c>
      <c r="F30" t="s">
        <v>3287</v>
      </c>
      <c r="G30" s="1" t="s">
        <v>92</v>
      </c>
      <c r="H30" t="s">
        <v>82</v>
      </c>
      <c r="I30" t="s">
        <v>91</v>
      </c>
      <c r="J30" s="7">
        <v>6.6</v>
      </c>
      <c r="K30" s="8"/>
      <c r="L30" s="8">
        <v>43455</v>
      </c>
      <c r="M30">
        <v>12</v>
      </c>
      <c r="N30" s="9" t="s">
        <v>71</v>
      </c>
      <c r="O30">
        <v>2018</v>
      </c>
      <c r="P30">
        <v>0.1018</v>
      </c>
      <c r="Q30" s="10">
        <v>0.1</v>
      </c>
      <c r="R30" s="11">
        <f>ROUND(Таб[[#This Row],[Зелений Тариф ЕЦ]]+Таб[[#This Row],[Зелений Тариф ЕЦ]]*Таб[[#This Row],[% надбавки]],4)</f>
        <v>0.112</v>
      </c>
      <c r="S30" s="12">
        <v>43455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0.32800000000000001</v>
      </c>
      <c r="AY30">
        <v>1.4179999999999999</v>
      </c>
      <c r="BD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2564.5177988449623</v>
      </c>
      <c r="BE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1955.119160411311</v>
      </c>
      <c r="BF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2164.5962133125231</v>
      </c>
      <c r="BG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1686.2076780255279</v>
      </c>
      <c r="BH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1553.651884507349</v>
      </c>
      <c r="BI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1445.7123079471367</v>
      </c>
      <c r="BJ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1070.0603666096745</v>
      </c>
      <c r="BK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1435.7053899204168</v>
      </c>
      <c r="BL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1503.5340817813053</v>
      </c>
      <c r="BM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1742.4146006263786</v>
      </c>
      <c r="BN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2168.6969035211787</v>
      </c>
      <c r="BO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2480.8989137824801</v>
      </c>
      <c r="BP30">
        <f>SUM(Таб[[#This Row],[1]:[12]])</f>
        <v>21771.115299290246</v>
      </c>
    </row>
    <row r="31" spans="2:68" ht="63.75">
      <c r="B31" t="s">
        <v>54</v>
      </c>
      <c r="D31" t="s">
        <v>3355</v>
      </c>
      <c r="F31" t="s">
        <v>3287</v>
      </c>
      <c r="G31" s="1" t="s">
        <v>92</v>
      </c>
      <c r="H31" t="s">
        <v>82</v>
      </c>
      <c r="I31" t="s">
        <v>91</v>
      </c>
      <c r="J31" s="7">
        <v>3.5</v>
      </c>
      <c r="K31" s="8">
        <v>43766</v>
      </c>
      <c r="L31" s="8">
        <v>43795</v>
      </c>
      <c r="M31">
        <v>11</v>
      </c>
      <c r="N31" s="9" t="s">
        <v>71</v>
      </c>
      <c r="O31">
        <v>2019</v>
      </c>
      <c r="P31">
        <v>0.1018</v>
      </c>
      <c r="Q31" s="10">
        <v>0.1</v>
      </c>
      <c r="R31" s="11">
        <f>ROUND(Таб[[#This Row],[Зелений Тариф ЕЦ]]+Таб[[#This Row],[Зелений Тариф ЕЦ]]*Таб[[#This Row],[% надбавки]],4)</f>
        <v>0.112</v>
      </c>
      <c r="S31" s="12">
        <v>43795</v>
      </c>
      <c r="T31"/>
      <c r="BD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1359.9715599935405</v>
      </c>
      <c r="BE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1036.8056153696343</v>
      </c>
      <c r="BF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1147.8919313020954</v>
      </c>
      <c r="BG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894.20104137717385</v>
      </c>
      <c r="BH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823.90630239026086</v>
      </c>
      <c r="BI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766.66561785075419</v>
      </c>
      <c r="BJ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567.45625502028201</v>
      </c>
      <c r="BK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761.35891889719062</v>
      </c>
      <c r="BL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797.32867973251041</v>
      </c>
      <c r="BM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924.00774275641288</v>
      </c>
      <c r="BN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1150.0665397460798</v>
      </c>
      <c r="BO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1315.6282118543456</v>
      </c>
      <c r="BP31">
        <f>SUM(Таб[[#This Row],[1]:[12]])</f>
        <v>11545.288416290281</v>
      </c>
    </row>
    <row r="32" spans="2:68" ht="63.75">
      <c r="B32" t="s">
        <v>54</v>
      </c>
      <c r="D32" t="s">
        <v>3355</v>
      </c>
      <c r="F32" t="s">
        <v>3287</v>
      </c>
      <c r="G32" s="1" t="s">
        <v>92</v>
      </c>
      <c r="H32" t="s">
        <v>82</v>
      </c>
      <c r="I32" t="s">
        <v>91</v>
      </c>
      <c r="J32" s="7">
        <v>4.5</v>
      </c>
      <c r="K32" s="8">
        <v>43790</v>
      </c>
      <c r="L32" s="8">
        <v>43844</v>
      </c>
      <c r="M32">
        <v>1</v>
      </c>
      <c r="N32" s="9" t="s">
        <v>67</v>
      </c>
      <c r="O32">
        <v>2020</v>
      </c>
      <c r="P32">
        <v>0.1018</v>
      </c>
      <c r="Q32" s="10">
        <v>0.1</v>
      </c>
      <c r="R32" s="11">
        <f>ROUND(Таб[[#This Row],[Зелений Тариф ЕЦ]]+Таб[[#This Row],[Зелений Тариф ЕЦ]]*Таб[[#This Row],[% надбавки]],4)</f>
        <v>0.112</v>
      </c>
      <c r="S32" s="12">
        <v>43844</v>
      </c>
      <c r="T32"/>
      <c r="BD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1748.5348628488377</v>
      </c>
      <c r="BE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1333.0357911895303</v>
      </c>
      <c r="BF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1475.8610545312658</v>
      </c>
      <c r="BG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1149.6870531992236</v>
      </c>
      <c r="BH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1059.3081030731926</v>
      </c>
      <c r="BI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985.71293723668418</v>
      </c>
      <c r="BJ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729.58661359750533</v>
      </c>
      <c r="BK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978.89003858210242</v>
      </c>
      <c r="BL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1025.1368739417992</v>
      </c>
      <c r="BM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1188.009954972531</v>
      </c>
      <c r="BN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1478.6569796735312</v>
      </c>
      <c r="BO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1691.5219866698731</v>
      </c>
      <c r="BP32">
        <f>SUM(Таб[[#This Row],[1]:[12]])</f>
        <v>14843.942249516076</v>
      </c>
    </row>
    <row r="33" spans="2:68" ht="76.5">
      <c r="B33" t="s">
        <v>54</v>
      </c>
      <c r="D33" t="s">
        <v>3355</v>
      </c>
      <c r="F33" t="s">
        <v>3287</v>
      </c>
      <c r="G33" s="1" t="s">
        <v>94</v>
      </c>
      <c r="H33" t="s">
        <v>82</v>
      </c>
      <c r="J33" s="7">
        <v>2.5</v>
      </c>
      <c r="K33" s="8"/>
      <c r="L33" s="8">
        <v>42670</v>
      </c>
      <c r="M33">
        <v>10</v>
      </c>
      <c r="N33" s="9" t="s">
        <v>71</v>
      </c>
      <c r="O33">
        <v>2016</v>
      </c>
      <c r="P33">
        <v>0.1018</v>
      </c>
      <c r="Q33" s="10">
        <v>0.1</v>
      </c>
      <c r="R33" s="11">
        <f>ROUND(Таб[[#This Row],[Зелений Тариф ЕЦ]]+Таб[[#This Row],[Зелений Тариф ЕЦ]]*Таб[[#This Row],[% надбавки]],4)</f>
        <v>0.112</v>
      </c>
      <c r="S33" s="12">
        <v>42681</v>
      </c>
      <c r="T33">
        <v>1.4450000000000001</v>
      </c>
      <c r="U33">
        <v>1.4829999999999999</v>
      </c>
      <c r="V33">
        <v>1.7640000000000002</v>
      </c>
      <c r="W33">
        <v>1.5910000000000002</v>
      </c>
      <c r="X33">
        <v>1.085</v>
      </c>
      <c r="Y33">
        <v>0.99499999999999922</v>
      </c>
      <c r="Z33">
        <v>1.0300000000000011</v>
      </c>
      <c r="AA33">
        <v>1.2559999999999985</v>
      </c>
      <c r="AB33">
        <v>1.2780000000000005</v>
      </c>
      <c r="AC33">
        <v>2.8120000000000012</v>
      </c>
      <c r="AD33">
        <v>2.4639999999999986</v>
      </c>
      <c r="AE33">
        <v>3.2620000000000005</v>
      </c>
      <c r="AF33">
        <v>2.669</v>
      </c>
      <c r="AG33">
        <v>2.2530000000000001</v>
      </c>
      <c r="AH33">
        <v>3.8959999999999999</v>
      </c>
      <c r="AI33">
        <v>3.339</v>
      </c>
      <c r="AJ33">
        <v>3.4049999999999998</v>
      </c>
      <c r="AK33">
        <v>3.407</v>
      </c>
      <c r="AL33">
        <v>3.0259999999999998</v>
      </c>
      <c r="AM33">
        <v>3.8220000000000001</v>
      </c>
      <c r="AN33">
        <v>4.1210000000000004</v>
      </c>
      <c r="AO33">
        <v>7.6719999999999997</v>
      </c>
      <c r="AP33">
        <v>5.82</v>
      </c>
      <c r="AQ33">
        <v>7.51</v>
      </c>
      <c r="AR33">
        <v>7.8949999999999996</v>
      </c>
      <c r="AS33">
        <v>7.0979999999999999</v>
      </c>
      <c r="AT33">
        <v>7.57</v>
      </c>
      <c r="AU33">
        <v>4.601</v>
      </c>
      <c r="AV33">
        <v>4.4000000000000004</v>
      </c>
      <c r="AW33">
        <v>5.335</v>
      </c>
      <c r="AX33">
        <v>4.5720000000000001</v>
      </c>
      <c r="AY33">
        <v>6.6749999999999998</v>
      </c>
      <c r="BD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971.40825713824324</v>
      </c>
      <c r="BE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740.57543954973903</v>
      </c>
      <c r="BF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819.92280807292548</v>
      </c>
      <c r="BG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638.71502955512415</v>
      </c>
      <c r="BH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588.50450170732915</v>
      </c>
      <c r="BI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547.61829846482442</v>
      </c>
      <c r="BJ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405.32589644305858</v>
      </c>
      <c r="BK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543.82779921227905</v>
      </c>
      <c r="BL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569.52048552322174</v>
      </c>
      <c r="BM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660.00553054029501</v>
      </c>
      <c r="BN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821.47609981862843</v>
      </c>
      <c r="BO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939.73443703881844</v>
      </c>
      <c r="BP33">
        <f>SUM(Таб[[#This Row],[1]:[12]])</f>
        <v>8246.6345830644859</v>
      </c>
    </row>
    <row r="34" spans="2:68" ht="76.5">
      <c r="B34" t="s">
        <v>54</v>
      </c>
      <c r="D34" t="s">
        <v>3355</v>
      </c>
      <c r="F34" t="s">
        <v>3287</v>
      </c>
      <c r="G34" s="1" t="s">
        <v>94</v>
      </c>
      <c r="H34" t="s">
        <v>82</v>
      </c>
      <c r="J34" s="7">
        <v>2.5</v>
      </c>
      <c r="K34" s="8"/>
      <c r="L34" s="8">
        <v>42726</v>
      </c>
      <c r="M34">
        <v>12</v>
      </c>
      <c r="N34" s="9" t="s">
        <v>71</v>
      </c>
      <c r="O34">
        <v>2016</v>
      </c>
      <c r="P34">
        <v>0.1018</v>
      </c>
      <c r="Q34" s="10">
        <v>0.1</v>
      </c>
      <c r="R34" s="11">
        <f>ROUND(Таб[[#This Row],[Зелений Тариф ЕЦ]]+Таб[[#This Row],[Зелений Тариф ЕЦ]]*Таб[[#This Row],[% надбавки]],4)</f>
        <v>0.112</v>
      </c>
      <c r="S34" s="12">
        <v>42726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D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971.40825713824324</v>
      </c>
      <c r="BE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740.57543954973903</v>
      </c>
      <c r="BF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819.92280807292548</v>
      </c>
      <c r="BG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638.71502955512415</v>
      </c>
      <c r="BH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588.50450170732915</v>
      </c>
      <c r="BI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547.61829846482442</v>
      </c>
      <c r="BJ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405.32589644305858</v>
      </c>
      <c r="BK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543.82779921227905</v>
      </c>
      <c r="BL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569.52048552322174</v>
      </c>
      <c r="BM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660.00553054029501</v>
      </c>
      <c r="BN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821.47609981862843</v>
      </c>
      <c r="BO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939.73443703881844</v>
      </c>
      <c r="BP34">
        <f>SUM(Таб[[#This Row],[1]:[12]])</f>
        <v>8246.6345830644859</v>
      </c>
    </row>
    <row r="35" spans="2:68" ht="76.5">
      <c r="B35" t="s">
        <v>54</v>
      </c>
      <c r="D35" t="s">
        <v>3355</v>
      </c>
      <c r="F35" t="s">
        <v>3287</v>
      </c>
      <c r="G35" s="1" t="s">
        <v>94</v>
      </c>
      <c r="H35" t="s">
        <v>82</v>
      </c>
      <c r="I35" t="s">
        <v>93</v>
      </c>
      <c r="J35" s="7">
        <v>3</v>
      </c>
      <c r="K35" s="8"/>
      <c r="L35" s="8">
        <v>43007</v>
      </c>
      <c r="M35">
        <v>9</v>
      </c>
      <c r="N35" s="9" t="s">
        <v>60</v>
      </c>
      <c r="O35">
        <v>2017</v>
      </c>
      <c r="P35">
        <v>0.1018</v>
      </c>
      <c r="Q35" s="10">
        <v>0.1</v>
      </c>
      <c r="R35" s="11">
        <f>ROUND(Таб[[#This Row],[Зелений Тариф ЕЦ]]+Таб[[#This Row],[Зелений Тариф ЕЦ]]*Таб[[#This Row],[% надбавки]],4)</f>
        <v>0.112</v>
      </c>
      <c r="S35" s="12">
        <v>43007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BD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1165.6899085658918</v>
      </c>
      <c r="BE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888.69052745968679</v>
      </c>
      <c r="BF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983.90736968751037</v>
      </c>
      <c r="BG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766.458035466149</v>
      </c>
      <c r="BH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706.20540204879501</v>
      </c>
      <c r="BI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657.14195815778942</v>
      </c>
      <c r="BJ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486.39107573167018</v>
      </c>
      <c r="BK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652.59335905473495</v>
      </c>
      <c r="BL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683.42458262786613</v>
      </c>
      <c r="BM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792.00663664835395</v>
      </c>
      <c r="BN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985.77131978235411</v>
      </c>
      <c r="BO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1127.681324446582</v>
      </c>
      <c r="BP35">
        <f>SUM(Таб[[#This Row],[1]:[12]])</f>
        <v>9895.9614996773817</v>
      </c>
    </row>
    <row r="36" spans="2:68" ht="76.5">
      <c r="B36" t="s">
        <v>54</v>
      </c>
      <c r="D36" t="s">
        <v>3355</v>
      </c>
      <c r="F36" t="s">
        <v>3287</v>
      </c>
      <c r="G36" s="1" t="s">
        <v>94</v>
      </c>
      <c r="H36" t="s">
        <v>82</v>
      </c>
      <c r="I36" t="s">
        <v>93</v>
      </c>
      <c r="J36" s="7">
        <v>3</v>
      </c>
      <c r="K36" s="8"/>
      <c r="L36" s="8">
        <v>43361</v>
      </c>
      <c r="M36">
        <v>9</v>
      </c>
      <c r="N36" s="9" t="s">
        <v>60</v>
      </c>
      <c r="O36">
        <v>2018</v>
      </c>
      <c r="P36">
        <v>0.1018</v>
      </c>
      <c r="Q36" s="10">
        <v>0.1</v>
      </c>
      <c r="R36" s="11">
        <f>ROUND(Таб[[#This Row],[Зелений Тариф ЕЦ]]+Таб[[#This Row],[Зелений Тариф ЕЦ]]*Таб[[#This Row],[% надбавки]],4)</f>
        <v>0.112</v>
      </c>
      <c r="S36" s="12">
        <v>43361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BD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1165.6899085658918</v>
      </c>
      <c r="BE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888.69052745968679</v>
      </c>
      <c r="BF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983.90736968751037</v>
      </c>
      <c r="BG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766.458035466149</v>
      </c>
      <c r="BH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706.20540204879501</v>
      </c>
      <c r="BI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657.14195815778942</v>
      </c>
      <c r="BJ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486.39107573167018</v>
      </c>
      <c r="BK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652.59335905473495</v>
      </c>
      <c r="BL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683.42458262786613</v>
      </c>
      <c r="BM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792.00663664835395</v>
      </c>
      <c r="BN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985.77131978235411</v>
      </c>
      <c r="BO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1127.681324446582</v>
      </c>
      <c r="BP36">
        <f>SUM(Таб[[#This Row],[1]:[12]])</f>
        <v>9895.9614996773817</v>
      </c>
    </row>
    <row r="37" spans="2:68" ht="76.5">
      <c r="B37" t="s">
        <v>54</v>
      </c>
      <c r="D37" t="s">
        <v>3355</v>
      </c>
      <c r="F37" t="s">
        <v>3287</v>
      </c>
      <c r="G37" s="1" t="s">
        <v>94</v>
      </c>
      <c r="H37" t="s">
        <v>82</v>
      </c>
      <c r="I37" t="s">
        <v>93</v>
      </c>
      <c r="J37" s="7">
        <v>2.5</v>
      </c>
      <c r="K37" s="8"/>
      <c r="L37" s="8">
        <v>43431</v>
      </c>
      <c r="M37">
        <v>11</v>
      </c>
      <c r="N37" s="9" t="s">
        <v>71</v>
      </c>
      <c r="O37">
        <v>2018</v>
      </c>
      <c r="P37">
        <v>0.1018</v>
      </c>
      <c r="Q37" s="10">
        <v>0.1</v>
      </c>
      <c r="R37" s="11">
        <f>ROUND(Таб[[#This Row],[Зелений Тариф ЕЦ]]+Таб[[#This Row],[Зелений Тариф ЕЦ]]*Таб[[#This Row],[% надбавки]],4)</f>
        <v>0.112</v>
      </c>
      <c r="S37" s="12">
        <v>43431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BD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971.40825713824324</v>
      </c>
      <c r="BE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740.57543954973903</v>
      </c>
      <c r="BF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819.92280807292548</v>
      </c>
      <c r="BG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638.71502955512415</v>
      </c>
      <c r="BH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588.50450170732915</v>
      </c>
      <c r="BI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547.61829846482442</v>
      </c>
      <c r="BJ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405.32589644305858</v>
      </c>
      <c r="BK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543.82779921227905</v>
      </c>
      <c r="BL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569.52048552322174</v>
      </c>
      <c r="BM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660.00553054029501</v>
      </c>
      <c r="BN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821.47609981862843</v>
      </c>
      <c r="BO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939.73443703881844</v>
      </c>
      <c r="BP37">
        <f>SUM(Таб[[#This Row],[1]:[12]])</f>
        <v>8246.6345830644859</v>
      </c>
    </row>
    <row r="38" spans="2:68" ht="76.5">
      <c r="B38" t="s">
        <v>54</v>
      </c>
      <c r="D38" t="s">
        <v>3355</v>
      </c>
      <c r="F38" t="s">
        <v>3287</v>
      </c>
      <c r="G38" s="1" t="s">
        <v>94</v>
      </c>
      <c r="H38" t="s">
        <v>82</v>
      </c>
      <c r="I38" t="s">
        <v>95</v>
      </c>
      <c r="J38" s="7">
        <v>3.2</v>
      </c>
      <c r="K38" s="8"/>
      <c r="L38" s="8">
        <v>43130</v>
      </c>
      <c r="M38">
        <v>1</v>
      </c>
      <c r="N38" s="9" t="s">
        <v>67</v>
      </c>
      <c r="O38">
        <v>2018</v>
      </c>
      <c r="P38">
        <v>0.1018</v>
      </c>
      <c r="Q38" s="10">
        <v>0.1</v>
      </c>
      <c r="R38" s="11">
        <f>ROUND(Таб[[#This Row],[Зелений Тариф ЕЦ]]+Таб[[#This Row],[Зелений Тариф ЕЦ]]*Таб[[#This Row],[% надбавки]],4)</f>
        <v>0.112</v>
      </c>
      <c r="S38" s="12">
        <v>43130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BD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1243.4025691369513</v>
      </c>
      <c r="BE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947.93656262366608</v>
      </c>
      <c r="BF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1049.5011943333445</v>
      </c>
      <c r="BG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817.55523783055901</v>
      </c>
      <c r="BH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753.28576218538137</v>
      </c>
      <c r="BI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700.95142203497539</v>
      </c>
      <c r="BJ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518.81714744711496</v>
      </c>
      <c r="BK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696.09958299171728</v>
      </c>
      <c r="BL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728.98622146972389</v>
      </c>
      <c r="BM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844.80707909157763</v>
      </c>
      <c r="BN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1051.4894077678446</v>
      </c>
      <c r="BO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1202.8600794096874</v>
      </c>
      <c r="BP38">
        <f>SUM(Таб[[#This Row],[1]:[12]])</f>
        <v>10555.692266322543</v>
      </c>
    </row>
    <row r="39" spans="2:68" ht="76.5">
      <c r="B39" t="s">
        <v>54</v>
      </c>
      <c r="D39" t="s">
        <v>3355</v>
      </c>
      <c r="F39" t="s">
        <v>3287</v>
      </c>
      <c r="G39" s="1" t="s">
        <v>94</v>
      </c>
      <c r="H39" t="s">
        <v>82</v>
      </c>
      <c r="I39" t="s">
        <v>95</v>
      </c>
      <c r="J39" s="7">
        <v>3.2</v>
      </c>
      <c r="K39" s="8"/>
      <c r="L39" s="8">
        <v>43158</v>
      </c>
      <c r="M39">
        <v>2</v>
      </c>
      <c r="N39" s="9" t="s">
        <v>67</v>
      </c>
      <c r="O39">
        <v>2018</v>
      </c>
      <c r="P39">
        <v>0.1018</v>
      </c>
      <c r="Q39" s="10">
        <v>0.1</v>
      </c>
      <c r="R39" s="11">
        <f>ROUND(Таб[[#This Row],[Зелений Тариф ЕЦ]]+Таб[[#This Row],[Зелений Тариф ЕЦ]]*Таб[[#This Row],[% надбавки]],4)</f>
        <v>0.112</v>
      </c>
      <c r="S39" s="12">
        <v>43158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BD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1243.4025691369513</v>
      </c>
      <c r="BE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947.93656262366608</v>
      </c>
      <c r="BF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1049.5011943333445</v>
      </c>
      <c r="BG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817.55523783055901</v>
      </c>
      <c r="BH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753.28576218538137</v>
      </c>
      <c r="BI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700.95142203497539</v>
      </c>
      <c r="BJ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518.81714744711496</v>
      </c>
      <c r="BK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696.09958299171728</v>
      </c>
      <c r="BL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728.98622146972389</v>
      </c>
      <c r="BM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844.80707909157763</v>
      </c>
      <c r="BN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1051.4894077678446</v>
      </c>
      <c r="BO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1202.8600794096874</v>
      </c>
      <c r="BP39">
        <f>SUM(Таб[[#This Row],[1]:[12]])</f>
        <v>10555.692266322543</v>
      </c>
    </row>
    <row r="40" spans="2:68" ht="76.5">
      <c r="B40" t="s">
        <v>54</v>
      </c>
      <c r="D40" t="s">
        <v>3355</v>
      </c>
      <c r="F40" t="s">
        <v>3287</v>
      </c>
      <c r="G40" s="1" t="s">
        <v>94</v>
      </c>
      <c r="H40" t="s">
        <v>82</v>
      </c>
      <c r="I40" t="s">
        <v>95</v>
      </c>
      <c r="J40" s="7">
        <v>3.2</v>
      </c>
      <c r="K40" s="8"/>
      <c r="L40" s="8">
        <v>43277</v>
      </c>
      <c r="M40">
        <v>6</v>
      </c>
      <c r="N40" s="9" t="s">
        <v>57</v>
      </c>
      <c r="O40">
        <v>2018</v>
      </c>
      <c r="P40">
        <v>0.1018</v>
      </c>
      <c r="Q40" s="10">
        <v>0.1</v>
      </c>
      <c r="R40" s="11">
        <f>ROUND(Таб[[#This Row],[Зелений Тариф ЕЦ]]+Таб[[#This Row],[Зелений Тариф ЕЦ]]*Таб[[#This Row],[% надбавки]],4)</f>
        <v>0.112</v>
      </c>
      <c r="S40" s="12">
        <v>43277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BD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1243.4025691369513</v>
      </c>
      <c r="BE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947.93656262366608</v>
      </c>
      <c r="BF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1049.5011943333445</v>
      </c>
      <c r="BG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817.55523783055901</v>
      </c>
      <c r="BH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753.28576218538137</v>
      </c>
      <c r="BI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700.95142203497539</v>
      </c>
      <c r="BJ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518.81714744711496</v>
      </c>
      <c r="BK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696.09958299171728</v>
      </c>
      <c r="BL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728.98622146972389</v>
      </c>
      <c r="BM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844.80707909157763</v>
      </c>
      <c r="BN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1051.4894077678446</v>
      </c>
      <c r="BO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1202.8600794096874</v>
      </c>
      <c r="BP40">
        <f>SUM(Таб[[#This Row],[1]:[12]])</f>
        <v>10555.692266322543</v>
      </c>
    </row>
    <row r="41" spans="2:68" ht="76.5">
      <c r="B41" t="s">
        <v>54</v>
      </c>
      <c r="D41" t="s">
        <v>3355</v>
      </c>
      <c r="F41" t="s">
        <v>3287</v>
      </c>
      <c r="G41" s="1" t="s">
        <v>94</v>
      </c>
      <c r="H41" t="s">
        <v>82</v>
      </c>
      <c r="I41" t="s">
        <v>91</v>
      </c>
      <c r="J41" s="7">
        <v>3.3</v>
      </c>
      <c r="K41" s="8"/>
      <c r="L41" s="8">
        <v>43522</v>
      </c>
      <c r="M41">
        <v>2</v>
      </c>
      <c r="N41" s="9" t="s">
        <v>67</v>
      </c>
      <c r="O41">
        <v>2019</v>
      </c>
      <c r="P41">
        <v>0.1018</v>
      </c>
      <c r="Q41" s="10">
        <v>0.1</v>
      </c>
      <c r="R41" s="11">
        <f>ROUND(Таб[[#This Row],[Зелений Тариф ЕЦ]]+Таб[[#This Row],[Зелений Тариф ЕЦ]]*Таб[[#This Row],[% надбавки]],4)</f>
        <v>0.112</v>
      </c>
      <c r="S41" s="12">
        <v>43522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BD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1282.2588994224811</v>
      </c>
      <c r="BE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977.55958020565549</v>
      </c>
      <c r="BF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1082.2981066562616</v>
      </c>
      <c r="BG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843.10383901276396</v>
      </c>
      <c r="BH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776.8259422536745</v>
      </c>
      <c r="BI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722.85615397356833</v>
      </c>
      <c r="BJ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535.03018330483724</v>
      </c>
      <c r="BK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717.8526949602084</v>
      </c>
      <c r="BL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751.76704089065265</v>
      </c>
      <c r="BM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871.20730031318931</v>
      </c>
      <c r="BN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1084.3484517605893</v>
      </c>
      <c r="BO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1240.4494568912401</v>
      </c>
      <c r="BP41">
        <f>SUM(Таб[[#This Row],[1]:[12]])</f>
        <v>10885.557649645123</v>
      </c>
    </row>
    <row r="42" spans="2:68" ht="76.5">
      <c r="B42" t="s">
        <v>54</v>
      </c>
      <c r="D42" t="s">
        <v>3355</v>
      </c>
      <c r="F42" t="s">
        <v>3287</v>
      </c>
      <c r="G42" s="1" t="s">
        <v>94</v>
      </c>
      <c r="H42" t="s">
        <v>82</v>
      </c>
      <c r="I42" t="s">
        <v>91</v>
      </c>
      <c r="J42" s="7">
        <v>3.3</v>
      </c>
      <c r="K42" s="8"/>
      <c r="L42" s="8">
        <v>43543</v>
      </c>
      <c r="M42">
        <v>3</v>
      </c>
      <c r="N42" s="9" t="s">
        <v>67</v>
      </c>
      <c r="O42">
        <v>2019</v>
      </c>
      <c r="P42">
        <v>0.1018</v>
      </c>
      <c r="Q42" s="10">
        <v>0.1</v>
      </c>
      <c r="R42" s="11">
        <f>ROUND(Таб[[#This Row],[Зелений Тариф ЕЦ]]+Таб[[#This Row],[Зелений Тариф ЕЦ]]*Таб[[#This Row],[% надбавки]],4)</f>
        <v>0.112</v>
      </c>
      <c r="S42" s="12">
        <v>43543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BD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1282.2588994224811</v>
      </c>
      <c r="BE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977.55958020565549</v>
      </c>
      <c r="BF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1082.2981066562616</v>
      </c>
      <c r="BG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843.10383901276396</v>
      </c>
      <c r="BH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776.8259422536745</v>
      </c>
      <c r="BI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722.85615397356833</v>
      </c>
      <c r="BJ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535.03018330483724</v>
      </c>
      <c r="BK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717.8526949602084</v>
      </c>
      <c r="BL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751.76704089065265</v>
      </c>
      <c r="BM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871.20730031318931</v>
      </c>
      <c r="BN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1084.3484517605893</v>
      </c>
      <c r="BO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1240.4494568912401</v>
      </c>
      <c r="BP42">
        <f>SUM(Таб[[#This Row],[1]:[12]])</f>
        <v>10885.557649645123</v>
      </c>
    </row>
    <row r="43" spans="2:68" ht="76.5">
      <c r="B43" t="s">
        <v>54</v>
      </c>
      <c r="D43" t="s">
        <v>3355</v>
      </c>
      <c r="F43" t="s">
        <v>3287</v>
      </c>
      <c r="G43" s="1" t="s">
        <v>94</v>
      </c>
      <c r="H43" t="s">
        <v>82</v>
      </c>
      <c r="I43" t="s">
        <v>91</v>
      </c>
      <c r="J43" s="7">
        <v>3.5</v>
      </c>
      <c r="K43" s="8"/>
      <c r="L43" s="8">
        <v>43596</v>
      </c>
      <c r="M43">
        <v>5</v>
      </c>
      <c r="N43" s="9" t="s">
        <v>57</v>
      </c>
      <c r="O43">
        <v>2019</v>
      </c>
      <c r="P43">
        <v>0.1018</v>
      </c>
      <c r="Q43" s="10">
        <v>0.1</v>
      </c>
      <c r="R43" s="11">
        <f>ROUND(Таб[[#This Row],[Зелений Тариф ЕЦ]]+Таб[[#This Row],[Зелений Тариф ЕЦ]]*Таб[[#This Row],[% надбавки]],4)</f>
        <v>0.112</v>
      </c>
      <c r="S43" s="12">
        <v>43596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BD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1359.9715599935405</v>
      </c>
      <c r="BE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1036.8056153696343</v>
      </c>
      <c r="BF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1147.8919313020954</v>
      </c>
      <c r="BG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894.20104137717385</v>
      </c>
      <c r="BH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823.90630239026086</v>
      </c>
      <c r="BI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766.66561785075419</v>
      </c>
      <c r="BJ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567.45625502028201</v>
      </c>
      <c r="BK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761.35891889719062</v>
      </c>
      <c r="BL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797.32867973251041</v>
      </c>
      <c r="BM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924.00774275641288</v>
      </c>
      <c r="BN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1150.0665397460798</v>
      </c>
      <c r="BO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1315.6282118543456</v>
      </c>
      <c r="BP43">
        <f>SUM(Таб[[#This Row],[1]:[12]])</f>
        <v>11545.288416290281</v>
      </c>
    </row>
    <row r="44" spans="2:68" ht="76.5">
      <c r="B44" t="s">
        <v>54</v>
      </c>
      <c r="D44" t="s">
        <v>3355</v>
      </c>
      <c r="F44" t="s">
        <v>3287</v>
      </c>
      <c r="G44" s="1" t="s">
        <v>94</v>
      </c>
      <c r="H44" t="s">
        <v>82</v>
      </c>
      <c r="J44" s="7">
        <v>9.6</v>
      </c>
      <c r="K44" s="8">
        <v>43784</v>
      </c>
      <c r="L44" s="8">
        <v>43844</v>
      </c>
      <c r="M44">
        <v>1</v>
      </c>
      <c r="N44" s="9" t="s">
        <v>67</v>
      </c>
      <c r="O44">
        <v>2020</v>
      </c>
      <c r="P44">
        <v>0.1018</v>
      </c>
      <c r="Q44" s="10">
        <v>0.1</v>
      </c>
      <c r="R44" s="11">
        <f>ROUND(Таб[[#This Row],[Зелений Тариф ЕЦ]]+Таб[[#This Row],[Зелений Тариф ЕЦ]]*Таб[[#This Row],[% надбавки]],4)</f>
        <v>0.112</v>
      </c>
      <c r="S44" s="12">
        <v>43844</v>
      </c>
      <c r="T44"/>
      <c r="BD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3730.2077074108533</v>
      </c>
      <c r="BE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2843.8096878709975</v>
      </c>
      <c r="BF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3148.5035830000329</v>
      </c>
      <c r="BG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2452.6657134916768</v>
      </c>
      <c r="BH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2259.8572865561437</v>
      </c>
      <c r="BI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2102.854266104926</v>
      </c>
      <c r="BJ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1556.4514423413445</v>
      </c>
      <c r="BK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2088.2987489751513</v>
      </c>
      <c r="BL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2186.9586644091714</v>
      </c>
      <c r="BM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2534.4212372747324</v>
      </c>
      <c r="BN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3154.4682233035328</v>
      </c>
      <c r="BO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3608.5802382290622</v>
      </c>
      <c r="BP44">
        <f>SUM(Таб[[#This Row],[1]:[12]])</f>
        <v>31667.076798967624</v>
      </c>
    </row>
    <row r="45" spans="2:68" ht="63.75">
      <c r="B45" t="s">
        <v>54</v>
      </c>
      <c r="G45" s="1" t="s">
        <v>96</v>
      </c>
      <c r="H45" t="s">
        <v>62</v>
      </c>
      <c r="J45" s="7">
        <v>1.32</v>
      </c>
      <c r="K45" s="8"/>
      <c r="L45" s="8">
        <v>43417</v>
      </c>
      <c r="M45">
        <v>11</v>
      </c>
      <c r="N45" s="9" t="s">
        <v>71</v>
      </c>
      <c r="O45">
        <v>2018</v>
      </c>
      <c r="P45">
        <v>6.7900000000000002E-2</v>
      </c>
      <c r="Q45" s="10"/>
      <c r="R45" s="11">
        <f>ROUND(Таб[[#This Row],[Зелений Тариф ЕЦ]]+Таб[[#This Row],[Зелений Тариф ЕЦ]]*Таб[[#This Row],[% надбавки]],4)</f>
        <v>6.7900000000000002E-2</v>
      </c>
      <c r="S45" s="12"/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0.32800000000000001</v>
      </c>
      <c r="AP45">
        <v>0.114</v>
      </c>
      <c r="AQ45">
        <v>0.20200000000000001</v>
      </c>
      <c r="AR45">
        <v>0.17699999999999999</v>
      </c>
      <c r="AS45">
        <v>0.20399999999999999</v>
      </c>
      <c r="AT45">
        <v>0.26600000000000001</v>
      </c>
      <c r="AU45">
        <v>0.22500000000000001</v>
      </c>
      <c r="AV45">
        <v>0.121</v>
      </c>
      <c r="AW45">
        <v>6.4000000000000001E-2</v>
      </c>
      <c r="AX45">
        <v>7.4999999999999997E-2</v>
      </c>
      <c r="AY45">
        <v>7.2999999999999995E-2</v>
      </c>
      <c r="BD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512.90355976899241</v>
      </c>
      <c r="BE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391.02383208226223</v>
      </c>
      <c r="BF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432.91924266250464</v>
      </c>
      <c r="BG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337.24153560510558</v>
      </c>
      <c r="BH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310.73037690146981</v>
      </c>
      <c r="BI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289.14246158942734</v>
      </c>
      <c r="BJ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214.01207332193491</v>
      </c>
      <c r="BK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287.14107798408338</v>
      </c>
      <c r="BL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300.70681635626113</v>
      </c>
      <c r="BM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348.48292012527577</v>
      </c>
      <c r="BN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433.73938070423588</v>
      </c>
      <c r="BO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496.17978275649608</v>
      </c>
      <c r="BP45">
        <f>SUM(Таб[[#This Row],[1]:[12]])</f>
        <v>4354.22305985805</v>
      </c>
    </row>
    <row r="46" spans="2:68" ht="63.75">
      <c r="B46" t="s">
        <v>54</v>
      </c>
      <c r="G46" s="1" t="s">
        <v>96</v>
      </c>
      <c r="H46" t="s">
        <v>62</v>
      </c>
      <c r="J46" s="7">
        <v>0.66</v>
      </c>
      <c r="K46" s="8"/>
      <c r="L46" s="8">
        <v>43683</v>
      </c>
      <c r="M46">
        <v>8</v>
      </c>
      <c r="N46" s="9" t="s">
        <v>60</v>
      </c>
      <c r="O46">
        <v>2019</v>
      </c>
      <c r="P46">
        <v>6.7900000000000002E-2</v>
      </c>
      <c r="Q46" s="10"/>
      <c r="R46" s="11">
        <f>ROUND(Таб[[#This Row],[Зелений Тариф ЕЦ]]+Таб[[#This Row],[Зелений Тариф ЕЦ]]*Таб[[#This Row],[% надбавки]],4)</f>
        <v>6.7900000000000002E-2</v>
      </c>
      <c r="S46" s="12"/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BD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256.4517798844962</v>
      </c>
      <c r="BE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195.51191604113112</v>
      </c>
      <c r="BF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216.45962133125232</v>
      </c>
      <c r="BG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168.62076780255279</v>
      </c>
      <c r="BH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155.36518845073491</v>
      </c>
      <c r="BI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144.57123079471367</v>
      </c>
      <c r="BJ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107.00603666096745</v>
      </c>
      <c r="BK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143.57053899204169</v>
      </c>
      <c r="BL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150.35340817813056</v>
      </c>
      <c r="BM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174.24146006263788</v>
      </c>
      <c r="BN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216.86969035211794</v>
      </c>
      <c r="BO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248.08989137824804</v>
      </c>
      <c r="BP46">
        <f>SUM(Таб[[#This Row],[1]:[12]])</f>
        <v>2177.111529929025</v>
      </c>
    </row>
    <row r="47" spans="2:68" ht="51">
      <c r="B47" t="s">
        <v>54</v>
      </c>
      <c r="D47" t="s">
        <v>3359</v>
      </c>
      <c r="E47" t="s">
        <v>3385</v>
      </c>
      <c r="F47" t="s">
        <v>3287</v>
      </c>
      <c r="G47" s="1" t="s">
        <v>97</v>
      </c>
      <c r="H47" t="s">
        <v>98</v>
      </c>
      <c r="I47" t="s">
        <v>99</v>
      </c>
      <c r="J47" s="7">
        <v>20.7</v>
      </c>
      <c r="K47" s="8"/>
      <c r="L47" s="8">
        <v>42837</v>
      </c>
      <c r="M47">
        <v>9</v>
      </c>
      <c r="N47" s="9" t="s">
        <v>60</v>
      </c>
      <c r="O47">
        <v>2017</v>
      </c>
      <c r="P47">
        <v>0.1018</v>
      </c>
      <c r="Q47" s="10"/>
      <c r="R47" s="11">
        <f>ROUND(Таб[[#This Row],[Зелений Тариф ЕЦ]]+Таб[[#This Row],[Зелений Тариф ЕЦ]]*Таб[[#This Row],[% надбавки]],4)</f>
        <v>0.1018</v>
      </c>
      <c r="S47" s="12"/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2.8530000000000002</v>
      </c>
      <c r="AD47">
        <v>4.0739999999999998</v>
      </c>
      <c r="AE47">
        <v>7.1780000000000008</v>
      </c>
      <c r="AF47">
        <v>5.8390000000000004</v>
      </c>
      <c r="AG47">
        <v>1.2190000000000001</v>
      </c>
      <c r="AH47">
        <v>3.1840000000000002</v>
      </c>
      <c r="AI47">
        <v>4.6390000000000002</v>
      </c>
      <c r="AJ47">
        <v>2.4049999999999998</v>
      </c>
      <c r="AK47">
        <v>1.9319999999999999</v>
      </c>
      <c r="AL47">
        <v>2.6619999999999999</v>
      </c>
      <c r="AM47">
        <v>0.998</v>
      </c>
      <c r="AN47">
        <v>2.1440000000000001</v>
      </c>
      <c r="AO47">
        <v>3.4470000000000001</v>
      </c>
      <c r="AP47">
        <v>2.2349999999999999</v>
      </c>
      <c r="AQ47">
        <v>7.4530000000000003</v>
      </c>
      <c r="AR47">
        <v>5.84</v>
      </c>
      <c r="AS47">
        <v>6.51</v>
      </c>
      <c r="AT47">
        <v>6.1230000000000002</v>
      </c>
      <c r="AU47">
        <v>2.762</v>
      </c>
      <c r="AV47">
        <v>2.82</v>
      </c>
      <c r="AW47">
        <v>2.2189999999999999</v>
      </c>
      <c r="AX47">
        <v>2.5430000000000001</v>
      </c>
      <c r="AY47">
        <v>2.2930000000000001</v>
      </c>
      <c r="BD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8043.2603691046543</v>
      </c>
      <c r="BE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6131.9646394718393</v>
      </c>
      <c r="BF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6788.9608508438214</v>
      </c>
      <c r="BG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5288.5604447164278</v>
      </c>
      <c r="BH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4872.8172741366852</v>
      </c>
      <c r="BI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4534.2795112887461</v>
      </c>
      <c r="BJ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3356.0984225485249</v>
      </c>
      <c r="BK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4502.8941774776704</v>
      </c>
      <c r="BL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4715.6296201322757</v>
      </c>
      <c r="BM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5464.8457928736425</v>
      </c>
      <c r="BN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6801.8221064982426</v>
      </c>
      <c r="BO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7781.0011386814158</v>
      </c>
      <c r="BP47">
        <f>SUM(Таб[[#This Row],[1]:[12]])</f>
        <v>68282.134347773957</v>
      </c>
    </row>
    <row r="48" spans="2:68" ht="25.5">
      <c r="B48" t="s">
        <v>54</v>
      </c>
      <c r="E48" s="1" t="s">
        <v>3282</v>
      </c>
      <c r="F48" t="s">
        <v>3416</v>
      </c>
      <c r="G48" s="1" t="s">
        <v>100</v>
      </c>
      <c r="H48" t="s">
        <v>101</v>
      </c>
      <c r="I48" t="s">
        <v>102</v>
      </c>
      <c r="J48" s="7">
        <v>32.67</v>
      </c>
      <c r="K48" s="8"/>
      <c r="L48" s="8">
        <v>43567</v>
      </c>
      <c r="M48">
        <v>4</v>
      </c>
      <c r="N48" s="9" t="s">
        <v>57</v>
      </c>
      <c r="O48">
        <v>2019</v>
      </c>
      <c r="P48">
        <v>0.1018</v>
      </c>
      <c r="Q48" s="10"/>
      <c r="R48" s="11">
        <f>ROUND(Таб[[#This Row],[Зелений Тариф ЕЦ]]+Таб[[#This Row],[Зелений Тариф ЕЦ]]*Таб[[#This Row],[% надбавки]],4)</f>
        <v>0.1018</v>
      </c>
      <c r="S48" s="12"/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R48">
        <v>0</v>
      </c>
      <c r="AS48">
        <v>0</v>
      </c>
      <c r="AT48">
        <v>0</v>
      </c>
      <c r="AU48">
        <v>0</v>
      </c>
      <c r="AV48">
        <v>9.0169999999999995</v>
      </c>
      <c r="AW48">
        <v>7.5469999999999997</v>
      </c>
      <c r="AX48">
        <v>7.0209999999999999</v>
      </c>
      <c r="AY48">
        <v>8.2720000000000002</v>
      </c>
      <c r="BD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12694.363104282562</v>
      </c>
      <c r="BE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9677.8398440359906</v>
      </c>
      <c r="BF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10714.751255896988</v>
      </c>
      <c r="BG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8346.7280062263635</v>
      </c>
      <c r="BH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7690.5768283113784</v>
      </c>
      <c r="BI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7156.2759243383261</v>
      </c>
      <c r="BJ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5296.7988147178885</v>
      </c>
      <c r="BK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7106.7416801060626</v>
      </c>
      <c r="BL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7442.4937048174634</v>
      </c>
      <c r="BM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8624.9522731005745</v>
      </c>
      <c r="BN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10735.049672429837</v>
      </c>
      <c r="BO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12280.44962322328</v>
      </c>
      <c r="BP48">
        <f>SUM(Таб[[#This Row],[1]:[12]])</f>
        <v>107767.02073148673</v>
      </c>
    </row>
    <row r="49" spans="2:68" ht="76.5">
      <c r="B49" t="s">
        <v>54</v>
      </c>
      <c r="D49" t="s">
        <v>3356</v>
      </c>
      <c r="E49" t="s">
        <v>3288</v>
      </c>
      <c r="F49" t="s">
        <v>3287</v>
      </c>
      <c r="G49" s="1" t="s">
        <v>103</v>
      </c>
      <c r="H49" t="s">
        <v>69</v>
      </c>
      <c r="I49" t="s">
        <v>70</v>
      </c>
      <c r="J49" s="7">
        <v>26.81</v>
      </c>
      <c r="K49" s="8"/>
      <c r="L49" s="8">
        <v>43522</v>
      </c>
      <c r="M49">
        <v>2</v>
      </c>
      <c r="N49" s="9" t="s">
        <v>67</v>
      </c>
      <c r="O49">
        <v>2019</v>
      </c>
      <c r="P49">
        <v>0.1018</v>
      </c>
      <c r="Q49" s="10"/>
      <c r="R49" s="11">
        <f>ROUND(Таб[[#This Row],[Зелений Тариф ЕЦ]]+Таб[[#This Row],[Зелений Тариф ЕЦ]]*Таб[[#This Row],[% надбавки]],4)</f>
        <v>0.1018</v>
      </c>
      <c r="S49" s="12"/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R49">
        <v>0</v>
      </c>
      <c r="AS49">
        <v>0</v>
      </c>
      <c r="AT49">
        <v>12.273</v>
      </c>
      <c r="AU49">
        <v>23.689</v>
      </c>
      <c r="AV49">
        <v>24.358000000000001</v>
      </c>
      <c r="AW49">
        <v>29.452999999999999</v>
      </c>
      <c r="AX49">
        <v>16.983000000000001</v>
      </c>
      <c r="AY49">
        <v>27.779</v>
      </c>
      <c r="BD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10417.38214955052</v>
      </c>
      <c r="BE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7941.9310137314005</v>
      </c>
      <c r="BF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8792.8521937740516</v>
      </c>
      <c r="BG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6849.5799769491514</v>
      </c>
      <c r="BH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6311.1222763093974</v>
      </c>
      <c r="BI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5872.6586327367777</v>
      </c>
      <c r="BJ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4346.7149134553601</v>
      </c>
      <c r="BK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5832.0093187524808</v>
      </c>
      <c r="BL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6107.5376867510295</v>
      </c>
      <c r="BM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7077.8993095141232</v>
      </c>
      <c r="BN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8809.5096944549714</v>
      </c>
      <c r="BO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10077.712102804287</v>
      </c>
      <c r="BP49">
        <f>SUM(Таб[[#This Row],[1]:[12]])</f>
        <v>88436.909268783551</v>
      </c>
    </row>
    <row r="50" spans="2:68" ht="76.5">
      <c r="B50" t="s">
        <v>54</v>
      </c>
      <c r="D50" t="s">
        <v>3356</v>
      </c>
      <c r="E50" t="s">
        <v>3288</v>
      </c>
      <c r="F50" t="s">
        <v>3287</v>
      </c>
      <c r="G50" s="1" t="s">
        <v>103</v>
      </c>
      <c r="H50" t="s">
        <v>69</v>
      </c>
      <c r="I50" t="s">
        <v>70</v>
      </c>
      <c r="J50" s="7">
        <v>42.13</v>
      </c>
      <c r="K50" s="8"/>
      <c r="L50" s="8">
        <v>43550</v>
      </c>
      <c r="M50">
        <v>3</v>
      </c>
      <c r="N50" s="9" t="s">
        <v>67</v>
      </c>
      <c r="O50">
        <v>2019</v>
      </c>
      <c r="P50">
        <v>0.1018</v>
      </c>
      <c r="Q50" s="10"/>
      <c r="R50" s="11">
        <f>ROUND(Таб[[#This Row],[Зелений Тариф ЕЦ]]+Таб[[#This Row],[Зелений Тариф ЕЦ]]*Таб[[#This Row],[% надбавки]],4)</f>
        <v>0.1018</v>
      </c>
      <c r="S50" s="12"/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BD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16370.171949293677</v>
      </c>
      <c r="BE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12480.177307292202</v>
      </c>
      <c r="BF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13817.339161644939</v>
      </c>
      <c r="BG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10763.625678062952</v>
      </c>
      <c r="BH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9917.4778627719115</v>
      </c>
      <c r="BI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9228.4635657292238</v>
      </c>
      <c r="BJ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6830.5520068584228</v>
      </c>
      <c r="BK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9164.5860723253281</v>
      </c>
      <c r="BL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9597.5592220373328</v>
      </c>
      <c r="BM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11122.413200665051</v>
      </c>
      <c r="BN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13843.515234143528</v>
      </c>
      <c r="BO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15836.404732978168</v>
      </c>
      <c r="BP50">
        <f>SUM(Таб[[#This Row],[1]:[12]])</f>
        <v>138972.28599380277</v>
      </c>
    </row>
    <row r="51" spans="2:68" ht="76.5">
      <c r="B51" t="s">
        <v>54</v>
      </c>
      <c r="D51" t="s">
        <v>3356</v>
      </c>
      <c r="E51" t="s">
        <v>3288</v>
      </c>
      <c r="F51" t="s">
        <v>3287</v>
      </c>
      <c r="G51" s="1" t="s">
        <v>103</v>
      </c>
      <c r="H51" t="s">
        <v>69</v>
      </c>
      <c r="I51" t="s">
        <v>70</v>
      </c>
      <c r="J51" s="7">
        <v>26.81</v>
      </c>
      <c r="K51" s="8"/>
      <c r="L51" s="8">
        <v>43567</v>
      </c>
      <c r="M51">
        <v>4</v>
      </c>
      <c r="N51" s="9" t="s">
        <v>57</v>
      </c>
      <c r="O51">
        <v>2019</v>
      </c>
      <c r="P51">
        <v>0.1018</v>
      </c>
      <c r="Q51" s="10"/>
      <c r="R51" s="11">
        <f>ROUND(Таб[[#This Row],[Зелений Тариф ЕЦ]]+Таб[[#This Row],[Зелений Тариф ЕЦ]]*Таб[[#This Row],[% надбавки]],4)</f>
        <v>0.1018</v>
      </c>
      <c r="S51" s="12"/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BD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10417.38214955052</v>
      </c>
      <c r="BE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7941.9310137314005</v>
      </c>
      <c r="BF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8792.8521937740516</v>
      </c>
      <c r="BG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6849.5799769491514</v>
      </c>
      <c r="BH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6311.1222763093974</v>
      </c>
      <c r="BI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5872.6586327367777</v>
      </c>
      <c r="BJ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4346.7149134553601</v>
      </c>
      <c r="BK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5832.0093187524808</v>
      </c>
      <c r="BL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6107.5376867510295</v>
      </c>
      <c r="BM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7077.8993095141232</v>
      </c>
      <c r="BN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8809.5096944549714</v>
      </c>
      <c r="BO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10077.712102804287</v>
      </c>
      <c r="BP51">
        <f>SUM(Таб[[#This Row],[1]:[12]])</f>
        <v>88436.909268783551</v>
      </c>
    </row>
    <row r="52" spans="2:68" ht="76.5">
      <c r="B52" t="s">
        <v>54</v>
      </c>
      <c r="D52" t="s">
        <v>3356</v>
      </c>
      <c r="E52" t="s">
        <v>3288</v>
      </c>
      <c r="F52" t="s">
        <v>3287</v>
      </c>
      <c r="G52" s="1" t="s">
        <v>103</v>
      </c>
      <c r="H52" t="s">
        <v>69</v>
      </c>
      <c r="I52" t="s">
        <v>70</v>
      </c>
      <c r="J52" s="7">
        <v>3.83</v>
      </c>
      <c r="K52" s="8"/>
      <c r="L52" s="8">
        <v>43700</v>
      </c>
      <c r="M52">
        <v>8</v>
      </c>
      <c r="N52" s="9" t="s">
        <v>60</v>
      </c>
      <c r="O52">
        <v>2019</v>
      </c>
      <c r="P52">
        <v>0.1018</v>
      </c>
      <c r="Q52" s="10"/>
      <c r="R52" s="11">
        <f>ROUND(Таб[[#This Row],[Зелений Тариф ЕЦ]]+Таб[[#This Row],[Зелений Тариф ЕЦ]]*Таб[[#This Row],[% надбавки]],4)</f>
        <v>0.1018</v>
      </c>
      <c r="S52" s="12"/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BD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1488.1974499357887</v>
      </c>
      <c r="BE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1134.5615733902</v>
      </c>
      <c r="BF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1256.1217419677214</v>
      </c>
      <c r="BG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978.51142527845013</v>
      </c>
      <c r="BH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901.5888966156283</v>
      </c>
      <c r="BI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838.95123324811118</v>
      </c>
      <c r="BJ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620.95927335076567</v>
      </c>
      <c r="BK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833.14418839321161</v>
      </c>
      <c r="BL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872.50538382157572</v>
      </c>
      <c r="BM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1011.1284727877318</v>
      </c>
      <c r="BN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1258.5013849221389</v>
      </c>
      <c r="BO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1439.6731575434696</v>
      </c>
      <c r="BP52">
        <f>SUM(Таб[[#This Row],[1]:[12]])</f>
        <v>12633.844181254792</v>
      </c>
    </row>
    <row r="53" spans="2:68" ht="63.75">
      <c r="B53" t="s">
        <v>54</v>
      </c>
      <c r="D53" t="s">
        <v>3356</v>
      </c>
      <c r="E53" t="s">
        <v>3288</v>
      </c>
      <c r="F53" t="s">
        <v>3287</v>
      </c>
      <c r="G53" s="1" t="s">
        <v>104</v>
      </c>
      <c r="H53" t="s">
        <v>69</v>
      </c>
      <c r="I53" t="s">
        <v>70</v>
      </c>
      <c r="J53" s="7">
        <v>7.66</v>
      </c>
      <c r="K53" s="8">
        <v>43776</v>
      </c>
      <c r="L53" s="8">
        <v>43795</v>
      </c>
      <c r="M53">
        <v>11</v>
      </c>
      <c r="N53" s="9" t="s">
        <v>71</v>
      </c>
      <c r="O53">
        <v>2019</v>
      </c>
      <c r="P53">
        <v>0.1018</v>
      </c>
      <c r="Q53" s="10"/>
      <c r="R53" s="11">
        <f>ROUND(Таб[[#This Row],[Зелений Тариф ЕЦ]]+Таб[[#This Row],[Зелений Тариф ЕЦ]]*Таб[[#This Row],[% надбавки]],4)</f>
        <v>0.1018</v>
      </c>
      <c r="S53" s="12"/>
      <c r="T53"/>
      <c r="BD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2976.3948998715773</v>
      </c>
      <c r="BE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2269.1231467804</v>
      </c>
      <c r="BF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2512.2434839354428</v>
      </c>
      <c r="BG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1957.0228505569003</v>
      </c>
      <c r="BH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1803.1777932312566</v>
      </c>
      <c r="BI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1677.9024664962224</v>
      </c>
      <c r="BJ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1241.9185467015313</v>
      </c>
      <c r="BK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1666.2883767864232</v>
      </c>
      <c r="BL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1745.0107676431514</v>
      </c>
      <c r="BM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2022.2569455754635</v>
      </c>
      <c r="BN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2517.0027698442777</v>
      </c>
      <c r="BO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2879.3463150869393</v>
      </c>
      <c r="BP53">
        <f>SUM(Таб[[#This Row],[1]:[12]])</f>
        <v>25267.688362509583</v>
      </c>
    </row>
    <row r="54" spans="2:68" ht="63.75">
      <c r="B54" t="s">
        <v>54</v>
      </c>
      <c r="D54" t="s">
        <v>3356</v>
      </c>
      <c r="E54" t="s">
        <v>3288</v>
      </c>
      <c r="F54" t="s">
        <v>3287</v>
      </c>
      <c r="G54" s="1" t="s">
        <v>104</v>
      </c>
      <c r="H54" t="s">
        <v>69</v>
      </c>
      <c r="I54" t="s">
        <v>105</v>
      </c>
      <c r="J54" s="7">
        <v>7.66</v>
      </c>
      <c r="K54" s="8"/>
      <c r="L54" s="8">
        <v>43655</v>
      </c>
      <c r="M54">
        <v>7</v>
      </c>
      <c r="N54" s="9" t="s">
        <v>60</v>
      </c>
      <c r="O54">
        <v>2019</v>
      </c>
      <c r="P54">
        <v>0.1018</v>
      </c>
      <c r="Q54" s="10"/>
      <c r="R54" s="11">
        <f>ROUND(Таб[[#This Row],[Зелений Тариф ЕЦ]]+Таб[[#This Row],[Зелений Тариф ЕЦ]]*Таб[[#This Row],[% надбавки]],4)</f>
        <v>0.1018</v>
      </c>
      <c r="S54" s="12"/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BD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2976.3948998715773</v>
      </c>
      <c r="BE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2269.1231467804</v>
      </c>
      <c r="BF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2512.2434839354428</v>
      </c>
      <c r="BG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1957.0228505569003</v>
      </c>
      <c r="BH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1803.1777932312566</v>
      </c>
      <c r="BI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1677.9024664962224</v>
      </c>
      <c r="BJ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1241.9185467015313</v>
      </c>
      <c r="BK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1666.2883767864232</v>
      </c>
      <c r="BL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1745.0107676431514</v>
      </c>
      <c r="BM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2022.2569455754635</v>
      </c>
      <c r="BN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2517.0027698442777</v>
      </c>
      <c r="BO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2879.3463150869393</v>
      </c>
      <c r="BP54">
        <f>SUM(Таб[[#This Row],[1]:[12]])</f>
        <v>25267.688362509583</v>
      </c>
    </row>
    <row r="55" spans="2:68" ht="63.75">
      <c r="B55" t="s">
        <v>54</v>
      </c>
      <c r="D55" t="s">
        <v>3356</v>
      </c>
      <c r="E55" t="s">
        <v>3288</v>
      </c>
      <c r="F55" t="s">
        <v>3287</v>
      </c>
      <c r="G55" s="1" t="s">
        <v>104</v>
      </c>
      <c r="H55" t="s">
        <v>69</v>
      </c>
      <c r="I55" t="s">
        <v>105</v>
      </c>
      <c r="J55" s="7">
        <v>22.98</v>
      </c>
      <c r="K55" s="8"/>
      <c r="L55" s="8">
        <v>43700</v>
      </c>
      <c r="M55">
        <v>8</v>
      </c>
      <c r="N55" s="9" t="s">
        <v>60</v>
      </c>
      <c r="O55">
        <v>2019</v>
      </c>
      <c r="P55">
        <v>0.1018</v>
      </c>
      <c r="Q55" s="10"/>
      <c r="R55" s="11">
        <f>ROUND(Таб[[#This Row],[Зелений Тариф ЕЦ]]+Таб[[#This Row],[Зелений Тариф ЕЦ]]*Таб[[#This Row],[% надбавки]],4)</f>
        <v>0.1018</v>
      </c>
      <c r="S55" s="12"/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BD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8929.1846996147324</v>
      </c>
      <c r="BE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6807.369440341201</v>
      </c>
      <c r="BF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7536.7304518063302</v>
      </c>
      <c r="BG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5871.0685516707017</v>
      </c>
      <c r="BH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5409.5333796937703</v>
      </c>
      <c r="BI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5033.7073994886669</v>
      </c>
      <c r="BJ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3725.755640104594</v>
      </c>
      <c r="BK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4998.8651303592687</v>
      </c>
      <c r="BL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5235.0323029294541</v>
      </c>
      <c r="BM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6066.7708367263922</v>
      </c>
      <c r="BN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7551.0083095328337</v>
      </c>
      <c r="BO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8638.0389452608179</v>
      </c>
      <c r="BP55">
        <f>SUM(Таб[[#This Row],[1]:[12]])</f>
        <v>75803.065087528768</v>
      </c>
    </row>
    <row r="56" spans="2:68" ht="63.75">
      <c r="B56" t="s">
        <v>54</v>
      </c>
      <c r="D56" t="s">
        <v>3356</v>
      </c>
      <c r="E56" t="s">
        <v>3288</v>
      </c>
      <c r="F56" t="s">
        <v>3287</v>
      </c>
      <c r="G56" s="1" t="s">
        <v>104</v>
      </c>
      <c r="H56" t="s">
        <v>69</v>
      </c>
      <c r="I56" t="s">
        <v>105</v>
      </c>
      <c r="J56" s="7">
        <v>30.64</v>
      </c>
      <c r="K56" s="8"/>
      <c r="L56" s="8">
        <v>43721</v>
      </c>
      <c r="M56">
        <v>9</v>
      </c>
      <c r="N56" s="9" t="s">
        <v>60</v>
      </c>
      <c r="O56">
        <v>2019</v>
      </c>
      <c r="P56">
        <v>0.1018</v>
      </c>
      <c r="Q56" s="10"/>
      <c r="R56" s="11">
        <f>ROUND(Таб[[#This Row],[Зелений Тариф ЕЦ]]+Таб[[#This Row],[Зелений Тариф ЕЦ]]*Таб[[#This Row],[% надбавки]],4)</f>
        <v>0.1018</v>
      </c>
      <c r="S56" s="12"/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BD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11905.579599486309</v>
      </c>
      <c r="BE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9076.4925871216001</v>
      </c>
      <c r="BF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10048.973935741771</v>
      </c>
      <c r="BG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7828.0914022276011</v>
      </c>
      <c r="BH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7212.7111729250264</v>
      </c>
      <c r="BI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6711.6098659848894</v>
      </c>
      <c r="BJ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4967.6741868061254</v>
      </c>
      <c r="BK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6665.1535071456929</v>
      </c>
      <c r="BL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6980.0430705726058</v>
      </c>
      <c r="BM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8089.0277823018541</v>
      </c>
      <c r="BN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10068.011079377111</v>
      </c>
      <c r="BO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11517.385260347757</v>
      </c>
      <c r="BP56">
        <f>SUM(Таб[[#This Row],[1]:[12]])</f>
        <v>101070.75345003833</v>
      </c>
    </row>
    <row r="57" spans="2:68" ht="63.75">
      <c r="B57" t="s">
        <v>54</v>
      </c>
      <c r="D57" t="s">
        <v>3356</v>
      </c>
      <c r="E57" t="s">
        <v>3288</v>
      </c>
      <c r="F57" t="s">
        <v>3287</v>
      </c>
      <c r="G57" s="1" t="s">
        <v>104</v>
      </c>
      <c r="H57" t="s">
        <v>69</v>
      </c>
      <c r="I57" t="s">
        <v>105</v>
      </c>
      <c r="J57" s="7">
        <v>11.49</v>
      </c>
      <c r="K57" s="8"/>
      <c r="L57" s="8">
        <v>43732</v>
      </c>
      <c r="M57">
        <v>9</v>
      </c>
      <c r="N57" s="9" t="s">
        <v>60</v>
      </c>
      <c r="O57">
        <v>2019</v>
      </c>
      <c r="P57">
        <v>0.1018</v>
      </c>
      <c r="Q57" s="10"/>
      <c r="R57" s="11">
        <f>ROUND(Таб[[#This Row],[Зелений Тариф ЕЦ]]+Таб[[#This Row],[Зелений Тариф ЕЦ]]*Таб[[#This Row],[% надбавки]],4)</f>
        <v>0.1018</v>
      </c>
      <c r="S57" s="12"/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BD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4464.5923498073662</v>
      </c>
      <c r="BE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3403.6847201706005</v>
      </c>
      <c r="BF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3768.3652259031651</v>
      </c>
      <c r="BG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2935.5342758353509</v>
      </c>
      <c r="BH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2704.7666898468851</v>
      </c>
      <c r="BI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2516.8536997443334</v>
      </c>
      <c r="BJ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1862.877820052297</v>
      </c>
      <c r="BK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2499.4325651796344</v>
      </c>
      <c r="BL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2617.516151464727</v>
      </c>
      <c r="BM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3033.3854183631961</v>
      </c>
      <c r="BN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3775.5041547664168</v>
      </c>
      <c r="BO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4319.0194726304089</v>
      </c>
      <c r="BP57">
        <f>SUM(Таб[[#This Row],[1]:[12]])</f>
        <v>37901.532543764384</v>
      </c>
    </row>
    <row r="58" spans="2:68" ht="63.75">
      <c r="B58" t="s">
        <v>54</v>
      </c>
      <c r="D58" t="s">
        <v>3356</v>
      </c>
      <c r="E58" t="s">
        <v>3288</v>
      </c>
      <c r="F58" t="s">
        <v>3287</v>
      </c>
      <c r="G58" s="1" t="s">
        <v>104</v>
      </c>
      <c r="H58" t="s">
        <v>69</v>
      </c>
      <c r="I58" t="s">
        <v>105</v>
      </c>
      <c r="J58" s="7">
        <v>3.83</v>
      </c>
      <c r="K58" s="8"/>
      <c r="L58" s="8">
        <v>43745</v>
      </c>
      <c r="M58">
        <v>10</v>
      </c>
      <c r="N58" s="9" t="s">
        <v>71</v>
      </c>
      <c r="O58">
        <v>2019</v>
      </c>
      <c r="P58">
        <v>0.1018</v>
      </c>
      <c r="Q58" s="10"/>
      <c r="R58" s="11">
        <f>ROUND(Таб[[#This Row],[Зелений Тариф ЕЦ]]+Таб[[#This Row],[Зелений Тариф ЕЦ]]*Таб[[#This Row],[% надбавки]],4)</f>
        <v>0.1018</v>
      </c>
      <c r="S58" s="12"/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BD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1488.1974499357887</v>
      </c>
      <c r="BE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1134.5615733902</v>
      </c>
      <c r="BF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1256.1217419677214</v>
      </c>
      <c r="BG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978.51142527845013</v>
      </c>
      <c r="BH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901.5888966156283</v>
      </c>
      <c r="BI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838.95123324811118</v>
      </c>
      <c r="BJ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620.95927335076567</v>
      </c>
      <c r="BK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833.14418839321161</v>
      </c>
      <c r="BL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872.50538382157572</v>
      </c>
      <c r="BM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1011.1284727877318</v>
      </c>
      <c r="BN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1258.5013849221389</v>
      </c>
      <c r="BO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1439.6731575434696</v>
      </c>
      <c r="BP58">
        <f>SUM(Таб[[#This Row],[1]:[12]])</f>
        <v>12633.844181254792</v>
      </c>
    </row>
    <row r="59" spans="2:68" ht="63.75">
      <c r="B59" t="s">
        <v>54</v>
      </c>
      <c r="D59" t="s">
        <v>3356</v>
      </c>
      <c r="E59" t="s">
        <v>3288</v>
      </c>
      <c r="F59" t="s">
        <v>3287</v>
      </c>
      <c r="G59" s="1" t="s">
        <v>104</v>
      </c>
      <c r="H59" t="s">
        <v>69</v>
      </c>
      <c r="I59" t="s">
        <v>105</v>
      </c>
      <c r="J59" s="7">
        <v>7.66</v>
      </c>
      <c r="K59" s="8"/>
      <c r="L59" s="8">
        <v>43749</v>
      </c>
      <c r="M59">
        <v>10</v>
      </c>
      <c r="N59" s="9" t="s">
        <v>71</v>
      </c>
      <c r="O59">
        <v>2019</v>
      </c>
      <c r="P59">
        <v>0.1018</v>
      </c>
      <c r="Q59" s="10"/>
      <c r="R59" s="11">
        <f>ROUND(Таб[[#This Row],[Зелений Тариф ЕЦ]]+Таб[[#This Row],[Зелений Тариф ЕЦ]]*Таб[[#This Row],[% надбавки]],4)</f>
        <v>0.1018</v>
      </c>
      <c r="S59" s="12"/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BD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2976.3948998715773</v>
      </c>
      <c r="BE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2269.1231467804</v>
      </c>
      <c r="BF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2512.2434839354428</v>
      </c>
      <c r="BG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1957.0228505569003</v>
      </c>
      <c r="BH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1803.1777932312566</v>
      </c>
      <c r="BI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1677.9024664962224</v>
      </c>
      <c r="BJ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1241.9185467015313</v>
      </c>
      <c r="BK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1666.2883767864232</v>
      </c>
      <c r="BL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1745.0107676431514</v>
      </c>
      <c r="BM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2022.2569455754635</v>
      </c>
      <c r="BN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2517.0027698442777</v>
      </c>
      <c r="BO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2879.3463150869393</v>
      </c>
      <c r="BP59">
        <f>SUM(Таб[[#This Row],[1]:[12]])</f>
        <v>25267.688362509583</v>
      </c>
    </row>
    <row r="60" spans="2:68" ht="63.75">
      <c r="B60" t="s">
        <v>54</v>
      </c>
      <c r="D60" t="s">
        <v>3356</v>
      </c>
      <c r="E60" t="s">
        <v>3288</v>
      </c>
      <c r="F60" t="s">
        <v>3287</v>
      </c>
      <c r="G60" s="1" t="s">
        <v>104</v>
      </c>
      <c r="H60" t="s">
        <v>69</v>
      </c>
      <c r="I60" t="s">
        <v>105</v>
      </c>
      <c r="J60" s="7">
        <v>7.66</v>
      </c>
      <c r="K60" s="8"/>
      <c r="L60" s="8">
        <v>43762</v>
      </c>
      <c r="M60">
        <v>10</v>
      </c>
      <c r="N60" s="9" t="s">
        <v>71</v>
      </c>
      <c r="O60">
        <v>2019</v>
      </c>
      <c r="P60">
        <v>0.1018</v>
      </c>
      <c r="Q60" s="10"/>
      <c r="R60" s="11">
        <f>ROUND(Таб[[#This Row],[Зелений Тариф ЕЦ]]+Таб[[#This Row],[Зелений Тариф ЕЦ]]*Таб[[#This Row],[% надбавки]],4)</f>
        <v>0.1018</v>
      </c>
      <c r="S60" s="12"/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BD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2976.3948998715773</v>
      </c>
      <c r="BE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2269.1231467804</v>
      </c>
      <c r="BF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2512.2434839354428</v>
      </c>
      <c r="BG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1957.0228505569003</v>
      </c>
      <c r="BH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1803.1777932312566</v>
      </c>
      <c r="BI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1677.9024664962224</v>
      </c>
      <c r="BJ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1241.9185467015313</v>
      </c>
      <c r="BK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1666.2883767864232</v>
      </c>
      <c r="BL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1745.0107676431514</v>
      </c>
      <c r="BM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2022.2569455754635</v>
      </c>
      <c r="BN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2517.0027698442777</v>
      </c>
      <c r="BO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2879.3463150869393</v>
      </c>
      <c r="BP60">
        <f>SUM(Таб[[#This Row],[1]:[12]])</f>
        <v>25267.688362509583</v>
      </c>
    </row>
    <row r="61" spans="2:68" ht="25.5">
      <c r="B61" t="s">
        <v>54</v>
      </c>
      <c r="G61" s="1" t="s">
        <v>106</v>
      </c>
      <c r="H61" t="s">
        <v>107</v>
      </c>
      <c r="I61" t="s">
        <v>108</v>
      </c>
      <c r="J61" s="7">
        <v>0.45</v>
      </c>
      <c r="K61" s="8"/>
      <c r="L61" s="8">
        <v>41613</v>
      </c>
      <c r="M61">
        <v>12</v>
      </c>
      <c r="N61" s="9" t="s">
        <v>71</v>
      </c>
      <c r="O61">
        <v>2013</v>
      </c>
      <c r="P61">
        <v>6.4600000000000005E-2</v>
      </c>
      <c r="Q61" s="10"/>
      <c r="R61" s="11">
        <f>ROUND(Таб[[#This Row],[Зелений Тариф ЕЦ]]+Таб[[#This Row],[Зелений Тариф ЕЦ]]*Таб[[#This Row],[% надбавки]],4)</f>
        <v>6.4600000000000005E-2</v>
      </c>
      <c r="S61" s="12"/>
      <c r="T61">
        <v>2E-3</v>
      </c>
      <c r="U61">
        <v>3.0000000000000001E-3</v>
      </c>
      <c r="V61">
        <v>3.9999999999999992E-3</v>
      </c>
      <c r="W61">
        <v>4.0000000000000001E-3</v>
      </c>
      <c r="X61">
        <v>1.0000000000000009E-3</v>
      </c>
      <c r="Y61">
        <v>9.9999999999999915E-4</v>
      </c>
      <c r="Z61">
        <v>0</v>
      </c>
      <c r="AA61">
        <v>0</v>
      </c>
      <c r="AB61">
        <v>2.0000000000000018E-3</v>
      </c>
      <c r="AC61">
        <v>2.9999999999999992E-3</v>
      </c>
      <c r="AD61">
        <v>1.0000000000000009E-3</v>
      </c>
      <c r="AE61">
        <v>1.9999999999999983E-3</v>
      </c>
      <c r="AF61">
        <v>1E-3</v>
      </c>
      <c r="AG61">
        <v>0</v>
      </c>
      <c r="AH61">
        <v>1E-3</v>
      </c>
      <c r="AI61">
        <v>2E-3</v>
      </c>
      <c r="AJ61">
        <v>1E-3</v>
      </c>
      <c r="AK61">
        <v>0</v>
      </c>
      <c r="AL61">
        <v>0</v>
      </c>
      <c r="AM61">
        <v>0</v>
      </c>
      <c r="AN61">
        <v>1E-3</v>
      </c>
      <c r="AO61">
        <v>2E-3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BD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174.85348628488379</v>
      </c>
      <c r="BE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133.30357911895302</v>
      </c>
      <c r="BF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147.58610545312655</v>
      </c>
      <c r="BG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114.96870531992235</v>
      </c>
      <c r="BH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105.93081030731926</v>
      </c>
      <c r="BI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98.571293723668404</v>
      </c>
      <c r="BJ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72.958661359750536</v>
      </c>
      <c r="BK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97.889003858210231</v>
      </c>
      <c r="BL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102.51368739417991</v>
      </c>
      <c r="BM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118.80099549725308</v>
      </c>
      <c r="BN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147.86569796735313</v>
      </c>
      <c r="BO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169.15219866698732</v>
      </c>
      <c r="BP61">
        <f>SUM(Таб[[#This Row],[1]:[12]])</f>
        <v>1484.3942249516074</v>
      </c>
    </row>
    <row r="62" spans="2:68" ht="25.5">
      <c r="B62" t="s">
        <v>54</v>
      </c>
      <c r="D62" t="s">
        <v>3359</v>
      </c>
      <c r="E62" t="s">
        <v>3358</v>
      </c>
      <c r="F62" t="s">
        <v>3287</v>
      </c>
      <c r="G62" s="1" t="s">
        <v>109</v>
      </c>
      <c r="H62" t="s">
        <v>98</v>
      </c>
      <c r="J62" s="7">
        <v>6.6</v>
      </c>
      <c r="K62" s="8"/>
      <c r="L62" s="8">
        <v>41998</v>
      </c>
      <c r="M62">
        <v>12</v>
      </c>
      <c r="N62" s="9" t="s">
        <v>71</v>
      </c>
      <c r="O62">
        <v>2014</v>
      </c>
      <c r="P62">
        <v>0.11310000000000001</v>
      </c>
      <c r="Q62" s="10"/>
      <c r="R62" s="11">
        <f>ROUND(Таб[[#This Row],[Зелений Тариф ЕЦ]]+Таб[[#This Row],[Зелений Тариф ЕЦ]]*Таб[[#This Row],[% надбавки]],4)</f>
        <v>0.11310000000000001</v>
      </c>
      <c r="S62" s="12"/>
      <c r="T62">
        <v>1.792</v>
      </c>
      <c r="U62">
        <v>1.6199999999999999</v>
      </c>
      <c r="V62">
        <v>1.7949999999999999</v>
      </c>
      <c r="W62">
        <v>1.87</v>
      </c>
      <c r="X62">
        <v>0.83800000000000008</v>
      </c>
      <c r="Y62">
        <v>1.2779999999999996</v>
      </c>
      <c r="Z62">
        <v>0.57099999999999973</v>
      </c>
      <c r="AA62">
        <v>0.76500000000000057</v>
      </c>
      <c r="AB62">
        <v>1.3830000000000009</v>
      </c>
      <c r="AC62">
        <v>2.3309999999999995</v>
      </c>
      <c r="AD62">
        <v>1.6429999999999989</v>
      </c>
      <c r="AE62">
        <v>2.4960000000000022</v>
      </c>
      <c r="AF62">
        <v>2.0920000000000001</v>
      </c>
      <c r="AG62">
        <v>0.42499999999999999</v>
      </c>
      <c r="AH62">
        <v>1.1020000000000001</v>
      </c>
      <c r="AI62">
        <v>1.651</v>
      </c>
      <c r="AJ62">
        <v>0.996</v>
      </c>
      <c r="AK62">
        <v>0.66800000000000004</v>
      </c>
      <c r="AL62">
        <v>0.72199999999999998</v>
      </c>
      <c r="AM62">
        <v>0.52500000000000002</v>
      </c>
      <c r="AN62">
        <v>1.0580000000000001</v>
      </c>
      <c r="AO62">
        <v>1.3140000000000001</v>
      </c>
      <c r="AP62">
        <v>0.94199999999999995</v>
      </c>
      <c r="AQ62">
        <v>2.3069999999999999</v>
      </c>
      <c r="AR62">
        <v>1.8779999999999999</v>
      </c>
      <c r="AS62">
        <v>2.1139999999999999</v>
      </c>
      <c r="AT62">
        <v>2.0920000000000001</v>
      </c>
      <c r="AU62">
        <v>1.161</v>
      </c>
      <c r="AV62">
        <v>1.0269999999999999</v>
      </c>
      <c r="AW62">
        <v>0.81100000000000005</v>
      </c>
      <c r="AX62">
        <v>0.79100000000000004</v>
      </c>
      <c r="AY62">
        <v>0.86099999999999999</v>
      </c>
      <c r="BD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2564.5177988449623</v>
      </c>
      <c r="BE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1955.119160411311</v>
      </c>
      <c r="BF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2164.5962133125231</v>
      </c>
      <c r="BG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1686.2076780255279</v>
      </c>
      <c r="BH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1553.651884507349</v>
      </c>
      <c r="BI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1445.7123079471367</v>
      </c>
      <c r="BJ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1070.0603666096745</v>
      </c>
      <c r="BK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1435.7053899204168</v>
      </c>
      <c r="BL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1503.5340817813053</v>
      </c>
      <c r="BM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1742.4146006263786</v>
      </c>
      <c r="BN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2168.6969035211787</v>
      </c>
      <c r="BO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2480.8989137824801</v>
      </c>
      <c r="BP62">
        <f>SUM(Таб[[#This Row],[1]:[12]])</f>
        <v>21771.115299290246</v>
      </c>
    </row>
    <row r="63" spans="2:68" ht="25.5">
      <c r="B63" t="s">
        <v>54</v>
      </c>
      <c r="D63" t="s">
        <v>3359</v>
      </c>
      <c r="E63" t="s">
        <v>3358</v>
      </c>
      <c r="F63" t="s">
        <v>3287</v>
      </c>
      <c r="G63" s="1" t="s">
        <v>109</v>
      </c>
      <c r="H63" t="s">
        <v>98</v>
      </c>
      <c r="J63" s="7">
        <v>6.6</v>
      </c>
      <c r="K63" s="8"/>
      <c r="L63" s="8">
        <v>42636</v>
      </c>
      <c r="M63">
        <v>9</v>
      </c>
      <c r="N63" s="9" t="s">
        <v>60</v>
      </c>
      <c r="O63">
        <v>2016</v>
      </c>
      <c r="P63">
        <v>0.1018</v>
      </c>
      <c r="Q63" s="10"/>
      <c r="R63" s="11">
        <f>ROUND(Таб[[#This Row],[Зелений Тариф ЕЦ]]+Таб[[#This Row],[Зелений Тариф ЕЦ]]*Таб[[#This Row],[% надбавки]],4)</f>
        <v>0.1018</v>
      </c>
      <c r="S63" s="12"/>
      <c r="T63">
        <v>1.575</v>
      </c>
      <c r="U63">
        <v>1.5309999999999999</v>
      </c>
      <c r="V63">
        <v>1.6680000000000001</v>
      </c>
      <c r="W63">
        <v>1.7160000000000002</v>
      </c>
      <c r="X63">
        <v>0.71899999999999942</v>
      </c>
      <c r="Y63">
        <v>1.2089999999999996</v>
      </c>
      <c r="Z63">
        <v>1.048</v>
      </c>
      <c r="AA63">
        <v>0.45400000000000063</v>
      </c>
      <c r="AB63">
        <v>0.8409999999999993</v>
      </c>
      <c r="AC63">
        <v>2.0410000000000004</v>
      </c>
      <c r="AD63">
        <v>1.4969999999999999</v>
      </c>
      <c r="AE63">
        <v>2.4039999999999999</v>
      </c>
      <c r="AF63">
        <v>2.0430000000000001</v>
      </c>
      <c r="AG63">
        <v>0.45100000000000001</v>
      </c>
      <c r="AH63">
        <v>1.06</v>
      </c>
      <c r="AI63">
        <v>1.464</v>
      </c>
      <c r="AJ63">
        <v>0.76600000000000001</v>
      </c>
      <c r="AK63">
        <v>0.59499999999999997</v>
      </c>
      <c r="AL63">
        <v>0.58799999999999997</v>
      </c>
      <c r="AM63">
        <v>0.41199999999999998</v>
      </c>
      <c r="AN63">
        <v>0.88300000000000001</v>
      </c>
      <c r="AO63">
        <v>1.304</v>
      </c>
      <c r="AP63">
        <v>0.77800000000000002</v>
      </c>
      <c r="AQ63">
        <v>2.11</v>
      </c>
      <c r="AR63">
        <v>1.788</v>
      </c>
      <c r="AS63">
        <v>1.9690000000000001</v>
      </c>
      <c r="AT63">
        <v>1.9510000000000001</v>
      </c>
      <c r="AU63">
        <v>0.93100000000000005</v>
      </c>
      <c r="AV63">
        <v>0.86399999999999999</v>
      </c>
      <c r="AW63">
        <v>0.623</v>
      </c>
      <c r="AX63">
        <v>0.69399999999999995</v>
      </c>
      <c r="AY63">
        <v>0.72499999999999998</v>
      </c>
      <c r="BD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2564.5177988449623</v>
      </c>
      <c r="BE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1955.119160411311</v>
      </c>
      <c r="BF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2164.5962133125231</v>
      </c>
      <c r="BG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1686.2076780255279</v>
      </c>
      <c r="BH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1553.651884507349</v>
      </c>
      <c r="BI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1445.7123079471367</v>
      </c>
      <c r="BJ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1070.0603666096745</v>
      </c>
      <c r="BK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1435.7053899204168</v>
      </c>
      <c r="BL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1503.5340817813053</v>
      </c>
      <c r="BM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1742.4146006263786</v>
      </c>
      <c r="BN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2168.6969035211787</v>
      </c>
      <c r="BO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2480.8989137824801</v>
      </c>
      <c r="BP63">
        <f>SUM(Таб[[#This Row],[1]:[12]])</f>
        <v>21771.115299290246</v>
      </c>
    </row>
    <row r="64" spans="2:68" ht="51">
      <c r="B64" t="s">
        <v>54</v>
      </c>
      <c r="E64" t="s">
        <v>3285</v>
      </c>
      <c r="F64" t="s">
        <v>3286</v>
      </c>
      <c r="G64" s="1" t="s">
        <v>110</v>
      </c>
      <c r="H64" t="s">
        <v>73</v>
      </c>
      <c r="I64" t="s">
        <v>111</v>
      </c>
      <c r="J64" s="7">
        <v>2.92</v>
      </c>
      <c r="K64" s="8"/>
      <c r="L64" s="8">
        <v>41116</v>
      </c>
      <c r="M64">
        <v>7</v>
      </c>
      <c r="N64" s="9" t="s">
        <v>60</v>
      </c>
      <c r="O64">
        <v>2012</v>
      </c>
      <c r="P64">
        <v>0.11310000000000001</v>
      </c>
      <c r="Q64" s="10"/>
      <c r="R64" s="11">
        <f>ROUND(Таб[[#This Row],[Зелений Тариф ЕЦ]]+Таб[[#This Row],[Зелений Тариф ЕЦ]]*Таб[[#This Row],[% надбавки]],4)</f>
        <v>0.11310000000000001</v>
      </c>
      <c r="S64" s="12"/>
      <c r="T64">
        <v>0.26900000000000002</v>
      </c>
      <c r="U64">
        <v>0.26500000000000001</v>
      </c>
      <c r="V64">
        <v>0.376</v>
      </c>
      <c r="W64">
        <v>0.38800000000000001</v>
      </c>
      <c r="X64">
        <v>0.22699999999999987</v>
      </c>
      <c r="Y64">
        <v>0.19200000000000017</v>
      </c>
      <c r="Z64">
        <v>0.20599999999999996</v>
      </c>
      <c r="AA64">
        <v>0.33800000000000008</v>
      </c>
      <c r="AB64">
        <v>0.36099999999999977</v>
      </c>
      <c r="AC64">
        <v>0.40399999999999991</v>
      </c>
      <c r="AD64">
        <v>0.36000000000000032</v>
      </c>
      <c r="AE64">
        <v>0.33999999999999986</v>
      </c>
      <c r="AF64">
        <v>0.52400000000000002</v>
      </c>
      <c r="AG64">
        <v>0.40300000000000002</v>
      </c>
      <c r="AH64">
        <v>0.49399999999999999</v>
      </c>
      <c r="AI64">
        <v>0.32200000000000001</v>
      </c>
      <c r="AJ64">
        <v>0.26900000000000002</v>
      </c>
      <c r="AK64">
        <v>0.14799999999999999</v>
      </c>
      <c r="AL64">
        <v>0.13700000000000001</v>
      </c>
      <c r="AM64">
        <v>0.28100000000000003</v>
      </c>
      <c r="AN64">
        <v>0.24099999999999999</v>
      </c>
      <c r="AO64">
        <v>0.376</v>
      </c>
      <c r="AP64">
        <v>0.39500000000000002</v>
      </c>
      <c r="AQ64">
        <v>0.42299999999999999</v>
      </c>
      <c r="AR64">
        <v>0.36199999999999999</v>
      </c>
      <c r="AS64">
        <v>0.29599999999999999</v>
      </c>
      <c r="AT64">
        <v>0.42299999999999999</v>
      </c>
      <c r="AU64">
        <v>0.27400000000000002</v>
      </c>
      <c r="AV64">
        <v>0.318</v>
      </c>
      <c r="AW64">
        <v>0.23499999999999999</v>
      </c>
      <c r="AX64">
        <v>5.3999999999999999E-2</v>
      </c>
      <c r="AY64">
        <v>0.20399999999999999</v>
      </c>
      <c r="BD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1134.6048443374682</v>
      </c>
      <c r="BE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864.99211339409521</v>
      </c>
      <c r="BF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957.66983982917668</v>
      </c>
      <c r="BG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746.01915452038486</v>
      </c>
      <c r="BH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687.37325799416044</v>
      </c>
      <c r="BI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639.61817260691487</v>
      </c>
      <c r="BJ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473.42064704549239</v>
      </c>
      <c r="BK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635.19086947994197</v>
      </c>
      <c r="BL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665.19992709112296</v>
      </c>
      <c r="BM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770.88645967106436</v>
      </c>
      <c r="BN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959.48408458815811</v>
      </c>
      <c r="BO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1097.6098224613397</v>
      </c>
      <c r="BP64">
        <f>SUM(Таб[[#This Row],[1]:[12]])</f>
        <v>9632.0691930193188</v>
      </c>
    </row>
    <row r="65" spans="2:68" ht="76.5">
      <c r="B65" t="s">
        <v>54</v>
      </c>
      <c r="D65" t="s">
        <v>3356</v>
      </c>
      <c r="E65" t="s">
        <v>3288</v>
      </c>
      <c r="F65" t="s">
        <v>3287</v>
      </c>
      <c r="G65" s="1" t="s">
        <v>112</v>
      </c>
      <c r="H65" t="s">
        <v>69</v>
      </c>
      <c r="I65" t="s">
        <v>70</v>
      </c>
      <c r="J65" s="7">
        <v>19</v>
      </c>
      <c r="K65" s="8"/>
      <c r="L65" s="8">
        <v>43683</v>
      </c>
      <c r="M65">
        <v>8</v>
      </c>
      <c r="N65" s="9" t="s">
        <v>60</v>
      </c>
      <c r="O65">
        <v>2019</v>
      </c>
      <c r="P65">
        <v>0.1018</v>
      </c>
      <c r="Q65" s="10"/>
      <c r="R65" s="11">
        <f>ROUND(Таб[[#This Row],[Зелений Тариф ЕЦ]]+Таб[[#This Row],[Зелений Тариф ЕЦ]]*Таб[[#This Row],[% надбавки]],4)</f>
        <v>0.1018</v>
      </c>
      <c r="S65" s="12"/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BD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7382.7027542506494</v>
      </c>
      <c r="BE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5628.3733405780167</v>
      </c>
      <c r="BF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6231.4133413542331</v>
      </c>
      <c r="BG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4854.2342246189437</v>
      </c>
      <c r="BH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4472.6342129757013</v>
      </c>
      <c r="BI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4161.8990683326656</v>
      </c>
      <c r="BJ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3080.4768129672448</v>
      </c>
      <c r="BK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4133.0912740133208</v>
      </c>
      <c r="BL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4328.3556899764853</v>
      </c>
      <c r="BM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5016.0420321062411</v>
      </c>
      <c r="BN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6243.218358621576</v>
      </c>
      <c r="BO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7141.9817214950199</v>
      </c>
      <c r="BP65">
        <f>SUM(Таб[[#This Row],[1]:[12]])</f>
        <v>62674.422831290096</v>
      </c>
    </row>
    <row r="66" spans="2:68" ht="76.5">
      <c r="B66" t="s">
        <v>54</v>
      </c>
      <c r="D66" t="s">
        <v>3356</v>
      </c>
      <c r="E66" t="s">
        <v>3288</v>
      </c>
      <c r="F66" t="s">
        <v>3287</v>
      </c>
      <c r="G66" s="1" t="s">
        <v>112</v>
      </c>
      <c r="H66" t="s">
        <v>69</v>
      </c>
      <c r="I66" t="s">
        <v>70</v>
      </c>
      <c r="J66" s="7">
        <v>19</v>
      </c>
      <c r="K66" s="8"/>
      <c r="L66" s="8">
        <v>43707</v>
      </c>
      <c r="M66">
        <v>8</v>
      </c>
      <c r="N66" s="9" t="s">
        <v>60</v>
      </c>
      <c r="O66">
        <v>2019</v>
      </c>
      <c r="P66">
        <v>0.1018</v>
      </c>
      <c r="Q66" s="10"/>
      <c r="R66" s="11">
        <f>ROUND(Таб[[#This Row],[Зелений Тариф ЕЦ]]+Таб[[#This Row],[Зелений Тариф ЕЦ]]*Таб[[#This Row],[% надбавки]],4)</f>
        <v>0.1018</v>
      </c>
      <c r="S66" s="12"/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BD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7382.7027542506494</v>
      </c>
      <c r="BE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5628.3733405780167</v>
      </c>
      <c r="BF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6231.4133413542331</v>
      </c>
      <c r="BG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4854.2342246189437</v>
      </c>
      <c r="BH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4472.6342129757013</v>
      </c>
      <c r="BI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4161.8990683326656</v>
      </c>
      <c r="BJ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3080.4768129672448</v>
      </c>
      <c r="BK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4133.0912740133208</v>
      </c>
      <c r="BL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4328.3556899764853</v>
      </c>
      <c r="BM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5016.0420321062411</v>
      </c>
      <c r="BN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6243.218358621576</v>
      </c>
      <c r="BO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7141.9817214950199</v>
      </c>
      <c r="BP66">
        <f>SUM(Таб[[#This Row],[1]:[12]])</f>
        <v>62674.422831290096</v>
      </c>
    </row>
    <row r="67" spans="2:68" ht="76.5">
      <c r="B67" t="s">
        <v>54</v>
      </c>
      <c r="D67" t="s">
        <v>3356</v>
      </c>
      <c r="E67" t="s">
        <v>3288</v>
      </c>
      <c r="F67" t="s">
        <v>3287</v>
      </c>
      <c r="G67" s="1" t="s">
        <v>112</v>
      </c>
      <c r="H67" t="s">
        <v>69</v>
      </c>
      <c r="I67" t="s">
        <v>70</v>
      </c>
      <c r="J67" s="7">
        <v>19</v>
      </c>
      <c r="K67" s="8"/>
      <c r="L67" s="8">
        <v>43714</v>
      </c>
      <c r="M67">
        <v>9</v>
      </c>
      <c r="N67" s="9" t="s">
        <v>60</v>
      </c>
      <c r="O67">
        <v>2019</v>
      </c>
      <c r="P67">
        <v>0.1018</v>
      </c>
      <c r="Q67" s="10"/>
      <c r="R67" s="11">
        <f>ROUND(Таб[[#This Row],[Зелений Тариф ЕЦ]]+Таб[[#This Row],[Зелений Тариф ЕЦ]]*Таб[[#This Row],[% надбавки]],4)</f>
        <v>0.1018</v>
      </c>
      <c r="S67" s="12"/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BD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7382.7027542506494</v>
      </c>
      <c r="BE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5628.3733405780167</v>
      </c>
      <c r="BF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6231.4133413542331</v>
      </c>
      <c r="BG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4854.2342246189437</v>
      </c>
      <c r="BH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4472.6342129757013</v>
      </c>
      <c r="BI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4161.8990683326656</v>
      </c>
      <c r="BJ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3080.4768129672448</v>
      </c>
      <c r="BK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4133.0912740133208</v>
      </c>
      <c r="BL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4328.3556899764853</v>
      </c>
      <c r="BM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5016.0420321062411</v>
      </c>
      <c r="BN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6243.218358621576</v>
      </c>
      <c r="BO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7141.9817214950199</v>
      </c>
      <c r="BP67">
        <f>SUM(Таб[[#This Row],[1]:[12]])</f>
        <v>62674.422831290096</v>
      </c>
    </row>
    <row r="68" spans="2:68" ht="76.5">
      <c r="B68" t="s">
        <v>54</v>
      </c>
      <c r="D68" t="s">
        <v>3356</v>
      </c>
      <c r="E68" t="s">
        <v>3288</v>
      </c>
      <c r="F68" t="s">
        <v>3287</v>
      </c>
      <c r="G68" s="1" t="s">
        <v>112</v>
      </c>
      <c r="H68" t="s">
        <v>69</v>
      </c>
      <c r="I68" t="s">
        <v>70</v>
      </c>
      <c r="J68" s="7">
        <v>7.6</v>
      </c>
      <c r="K68" s="8"/>
      <c r="L68" s="8">
        <v>43718</v>
      </c>
      <c r="M68">
        <v>9</v>
      </c>
      <c r="N68" s="9" t="s">
        <v>60</v>
      </c>
      <c r="O68">
        <v>2019</v>
      </c>
      <c r="P68">
        <v>0.1018</v>
      </c>
      <c r="Q68" s="10"/>
      <c r="R68" s="11">
        <f>ROUND(Таб[[#This Row],[Зелений Тариф ЕЦ]]+Таб[[#This Row],[Зелений Тариф ЕЦ]]*Таб[[#This Row],[% надбавки]],4)</f>
        <v>0.1018</v>
      </c>
      <c r="S68" s="12"/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BD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2953.0811017002593</v>
      </c>
      <c r="BE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2251.3493362312065</v>
      </c>
      <c r="BF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2492.5653365416929</v>
      </c>
      <c r="BG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1941.6936898475774</v>
      </c>
      <c r="BH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1789.0536851902807</v>
      </c>
      <c r="BI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1664.7596273330662</v>
      </c>
      <c r="BJ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1232.1907251868979</v>
      </c>
      <c r="BK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1653.2365096053281</v>
      </c>
      <c r="BL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1731.3422759905943</v>
      </c>
      <c r="BM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2006.4168128424967</v>
      </c>
      <c r="BN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2497.2873434486301</v>
      </c>
      <c r="BO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2856.7926885980078</v>
      </c>
      <c r="BP68">
        <f>SUM(Таб[[#This Row],[1]:[12]])</f>
        <v>25069.769132516038</v>
      </c>
    </row>
    <row r="69" spans="2:68" ht="76.5">
      <c r="B69" t="s">
        <v>54</v>
      </c>
      <c r="D69" t="s">
        <v>3356</v>
      </c>
      <c r="E69" t="s">
        <v>3288</v>
      </c>
      <c r="F69" t="s">
        <v>3287</v>
      </c>
      <c r="G69" s="1" t="s">
        <v>112</v>
      </c>
      <c r="H69" t="s">
        <v>69</v>
      </c>
      <c r="I69" t="s">
        <v>70</v>
      </c>
      <c r="J69" s="7">
        <v>19</v>
      </c>
      <c r="K69" s="8"/>
      <c r="L69" s="8">
        <v>43741</v>
      </c>
      <c r="M69">
        <v>10</v>
      </c>
      <c r="N69" s="9" t="s">
        <v>71</v>
      </c>
      <c r="O69">
        <v>2019</v>
      </c>
      <c r="P69">
        <v>0.1018</v>
      </c>
      <c r="Q69" s="10"/>
      <c r="R69" s="11">
        <f>ROUND(Таб[[#This Row],[Зелений Тариф ЕЦ]]+Таб[[#This Row],[Зелений Тариф ЕЦ]]*Таб[[#This Row],[% надбавки]],4)</f>
        <v>0.1018</v>
      </c>
      <c r="S69" s="12"/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BD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7382.7027542506494</v>
      </c>
      <c r="BE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5628.3733405780167</v>
      </c>
      <c r="BF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6231.4133413542331</v>
      </c>
      <c r="BG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4854.2342246189437</v>
      </c>
      <c r="BH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4472.6342129757013</v>
      </c>
      <c r="BI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4161.8990683326656</v>
      </c>
      <c r="BJ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3080.4768129672448</v>
      </c>
      <c r="BK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4133.0912740133208</v>
      </c>
      <c r="BL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4328.3556899764853</v>
      </c>
      <c r="BM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5016.0420321062411</v>
      </c>
      <c r="BN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6243.218358621576</v>
      </c>
      <c r="BO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7141.9817214950199</v>
      </c>
      <c r="BP69">
        <f>SUM(Таб[[#This Row],[1]:[12]])</f>
        <v>62674.422831290096</v>
      </c>
    </row>
    <row r="70" spans="2:68" ht="76.5">
      <c r="B70" t="s">
        <v>54</v>
      </c>
      <c r="D70" t="s">
        <v>3356</v>
      </c>
      <c r="E70" t="s">
        <v>3288</v>
      </c>
      <c r="F70" t="s">
        <v>3287</v>
      </c>
      <c r="G70" s="1" t="s">
        <v>112</v>
      </c>
      <c r="H70" t="s">
        <v>69</v>
      </c>
      <c r="I70" t="s">
        <v>70</v>
      </c>
      <c r="J70" s="7">
        <v>7.6</v>
      </c>
      <c r="K70" s="8"/>
      <c r="L70" s="8">
        <v>43745</v>
      </c>
      <c r="M70">
        <v>10</v>
      </c>
      <c r="N70" s="9" t="s">
        <v>71</v>
      </c>
      <c r="O70">
        <v>2019</v>
      </c>
      <c r="P70">
        <v>0.1018</v>
      </c>
      <c r="Q70" s="10"/>
      <c r="R70" s="11">
        <f>ROUND(Таб[[#This Row],[Зелений Тариф ЕЦ]]+Таб[[#This Row],[Зелений Тариф ЕЦ]]*Таб[[#This Row],[% надбавки]],4)</f>
        <v>0.1018</v>
      </c>
      <c r="S70" s="12"/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BD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2953.0811017002593</v>
      </c>
      <c r="BE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2251.3493362312065</v>
      </c>
      <c r="BF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2492.5653365416929</v>
      </c>
      <c r="BG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1941.6936898475774</v>
      </c>
      <c r="BH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1789.0536851902807</v>
      </c>
      <c r="BI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1664.7596273330662</v>
      </c>
      <c r="BJ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1232.1907251868979</v>
      </c>
      <c r="BK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1653.2365096053281</v>
      </c>
      <c r="BL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1731.3422759905943</v>
      </c>
      <c r="BM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2006.4168128424967</v>
      </c>
      <c r="BN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2497.2873434486301</v>
      </c>
      <c r="BO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2856.7926885980078</v>
      </c>
      <c r="BP70">
        <f>SUM(Таб[[#This Row],[1]:[12]])</f>
        <v>25069.769132516038</v>
      </c>
    </row>
    <row r="71" spans="2:68" ht="76.5">
      <c r="B71" t="s">
        <v>54</v>
      </c>
      <c r="D71" t="s">
        <v>3356</v>
      </c>
      <c r="E71" t="s">
        <v>3288</v>
      </c>
      <c r="F71" t="s">
        <v>3287</v>
      </c>
      <c r="G71" s="1" t="s">
        <v>112</v>
      </c>
      <c r="H71" t="s">
        <v>69</v>
      </c>
      <c r="I71" t="s">
        <v>70</v>
      </c>
      <c r="J71" s="7">
        <v>7.6</v>
      </c>
      <c r="K71" s="8"/>
      <c r="L71" s="8">
        <v>43749</v>
      </c>
      <c r="M71">
        <v>10</v>
      </c>
      <c r="N71" s="9" t="s">
        <v>71</v>
      </c>
      <c r="O71">
        <v>2019</v>
      </c>
      <c r="P71">
        <v>0.1018</v>
      </c>
      <c r="Q71" s="10"/>
      <c r="R71" s="11">
        <f>ROUND(Таб[[#This Row],[Зелений Тариф ЕЦ]]+Таб[[#This Row],[Зелений Тариф ЕЦ]]*Таб[[#This Row],[% надбавки]],4)</f>
        <v>0.1018</v>
      </c>
      <c r="S71" s="12"/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BD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2953.0811017002593</v>
      </c>
      <c r="BE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2251.3493362312065</v>
      </c>
      <c r="BF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2492.5653365416929</v>
      </c>
      <c r="BG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1941.6936898475774</v>
      </c>
      <c r="BH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1789.0536851902807</v>
      </c>
      <c r="BI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1664.7596273330662</v>
      </c>
      <c r="BJ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1232.1907251868979</v>
      </c>
      <c r="BK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1653.2365096053281</v>
      </c>
      <c r="BL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1731.3422759905943</v>
      </c>
      <c r="BM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2006.4168128424967</v>
      </c>
      <c r="BN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2497.2873434486301</v>
      </c>
      <c r="BO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2856.7926885980078</v>
      </c>
      <c r="BP71">
        <f>SUM(Таб[[#This Row],[1]:[12]])</f>
        <v>25069.769132516038</v>
      </c>
    </row>
    <row r="72" spans="2:68" ht="63.75">
      <c r="B72" t="s">
        <v>54</v>
      </c>
      <c r="D72" t="s">
        <v>3357</v>
      </c>
      <c r="E72" t="s">
        <v>3283</v>
      </c>
      <c r="F72" t="s">
        <v>3284</v>
      </c>
      <c r="G72" s="1" t="s">
        <v>113</v>
      </c>
      <c r="H72" t="s">
        <v>73</v>
      </c>
      <c r="J72" s="7">
        <v>4.2</v>
      </c>
      <c r="K72" s="8"/>
      <c r="L72" s="8"/>
      <c r="M72">
        <v>9</v>
      </c>
      <c r="N72" s="9" t="s">
        <v>60</v>
      </c>
      <c r="O72">
        <v>2019</v>
      </c>
      <c r="P72">
        <v>0.1018</v>
      </c>
      <c r="Q72" s="10"/>
      <c r="R72" s="11">
        <f>ROUND(Таб[[#This Row],[Зелений Тариф ЕЦ]]+Таб[[#This Row],[Зелений Тариф ЕЦ]]*Таб[[#This Row],[% надбавки]],4)</f>
        <v>0.1018</v>
      </c>
      <c r="S72" s="12"/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BD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1631.9658719922486</v>
      </c>
      <c r="BE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1244.1667384435616</v>
      </c>
      <c r="BF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1377.4703175625145</v>
      </c>
      <c r="BG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1073.0412496526085</v>
      </c>
      <c r="BH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988.68756286831297</v>
      </c>
      <c r="BI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919.99874142090516</v>
      </c>
      <c r="BJ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680.9475060243384</v>
      </c>
      <c r="BK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913.63070267662897</v>
      </c>
      <c r="BL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956.79441567901256</v>
      </c>
      <c r="BM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1108.8092913076955</v>
      </c>
      <c r="BN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1380.0798476952959</v>
      </c>
      <c r="BO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1578.753854225215</v>
      </c>
      <c r="BP72">
        <f>SUM(Таб[[#This Row],[1]:[12]])</f>
        <v>13854.34609954834</v>
      </c>
    </row>
    <row r="73" spans="2:68" ht="63.75">
      <c r="B73" t="s">
        <v>54</v>
      </c>
      <c r="D73" t="s">
        <v>3357</v>
      </c>
      <c r="E73" t="s">
        <v>3283</v>
      </c>
      <c r="F73" t="s">
        <v>3284</v>
      </c>
      <c r="G73" s="1" t="s">
        <v>113</v>
      </c>
      <c r="H73" t="s">
        <v>73</v>
      </c>
      <c r="I73" t="s">
        <v>77</v>
      </c>
      <c r="J73" s="7">
        <v>71.400000000000006</v>
      </c>
      <c r="K73" s="8"/>
      <c r="L73" s="8">
        <v>43745</v>
      </c>
      <c r="M73">
        <v>10</v>
      </c>
      <c r="N73" s="9" t="s">
        <v>71</v>
      </c>
      <c r="O73">
        <v>2019</v>
      </c>
      <c r="P73">
        <v>0.1018</v>
      </c>
      <c r="Q73" s="10"/>
      <c r="R73" s="11">
        <f>ROUND(Таб[[#This Row],[Зелений Тариф ЕЦ]]+Таб[[#This Row],[Зелений Тариф ЕЦ]]*Таб[[#This Row],[% надбавки]],4)</f>
        <v>0.1018</v>
      </c>
      <c r="S73" s="12"/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BD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27743.419823868233</v>
      </c>
      <c r="BE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21150.834553540546</v>
      </c>
      <c r="BF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23416.995398562751</v>
      </c>
      <c r="BG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18241.701244094347</v>
      </c>
      <c r="BH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16807.688568761321</v>
      </c>
      <c r="BI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15639.978604155387</v>
      </c>
      <c r="BJ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11576.107602413753</v>
      </c>
      <c r="BK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15531.72194550269</v>
      </c>
      <c r="BL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16265.505066543214</v>
      </c>
      <c r="BM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18849.757952230826</v>
      </c>
      <c r="BN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23461.35741082003</v>
      </c>
      <c r="BO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26838.815521828656</v>
      </c>
      <c r="BP73">
        <f>SUM(Таб[[#This Row],[1]:[12]])</f>
        <v>235523.88369232175</v>
      </c>
    </row>
    <row r="74" spans="2:68" ht="63.75">
      <c r="B74" t="s">
        <v>54</v>
      </c>
      <c r="D74" t="s">
        <v>3357</v>
      </c>
      <c r="E74" t="s">
        <v>3283</v>
      </c>
      <c r="F74" t="s">
        <v>3284</v>
      </c>
      <c r="G74" s="1" t="s">
        <v>114</v>
      </c>
      <c r="H74" t="s">
        <v>73</v>
      </c>
      <c r="I74" t="s">
        <v>77</v>
      </c>
      <c r="J74" s="7">
        <v>87.4</v>
      </c>
      <c r="K74" s="8">
        <v>43760</v>
      </c>
      <c r="L74" s="8">
        <v>43783</v>
      </c>
      <c r="M74">
        <v>11</v>
      </c>
      <c r="N74" s="9" t="s">
        <v>71</v>
      </c>
      <c r="O74">
        <v>2019</v>
      </c>
      <c r="P74">
        <v>0.1018</v>
      </c>
      <c r="Q74" s="10"/>
      <c r="R74" s="11">
        <f>ROUND(Таб[[#This Row],[Зелений Тариф ЕЦ]]+Таб[[#This Row],[Зелений Тариф ЕЦ]]*Таб[[#This Row],[% надбавки]],4)</f>
        <v>0.1018</v>
      </c>
      <c r="S74" s="12"/>
      <c r="T74"/>
      <c r="BD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33960.432669552989</v>
      </c>
      <c r="BE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25890.517366658874</v>
      </c>
      <c r="BF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28664.501370229467</v>
      </c>
      <c r="BG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22329.477433247142</v>
      </c>
      <c r="BH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20574.117379688229</v>
      </c>
      <c r="BI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19144.735714330265</v>
      </c>
      <c r="BJ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14170.193339649328</v>
      </c>
      <c r="BK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19012.219860461279</v>
      </c>
      <c r="BL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19910.436173891834</v>
      </c>
      <c r="BM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23073.793347688712</v>
      </c>
      <c r="BN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28718.804449659248</v>
      </c>
      <c r="BO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32853.115918877098</v>
      </c>
      <c r="BP74">
        <f>SUM(Таб[[#This Row],[1]:[12]])</f>
        <v>288302.34502393444</v>
      </c>
    </row>
    <row r="75" spans="2:68" ht="63.75">
      <c r="B75" t="s">
        <v>54</v>
      </c>
      <c r="D75" t="s">
        <v>3355</v>
      </c>
      <c r="F75" t="s">
        <v>3287</v>
      </c>
      <c r="G75" s="1" t="s">
        <v>115</v>
      </c>
      <c r="H75" t="s">
        <v>82</v>
      </c>
      <c r="I75" t="s">
        <v>91</v>
      </c>
      <c r="J75" s="7">
        <v>3.5</v>
      </c>
      <c r="K75" s="8"/>
      <c r="L75" s="8">
        <v>43745</v>
      </c>
      <c r="M75">
        <v>10</v>
      </c>
      <c r="N75" s="9" t="s">
        <v>71</v>
      </c>
      <c r="O75">
        <v>2019</v>
      </c>
      <c r="P75">
        <v>0.1018</v>
      </c>
      <c r="Q75" s="10">
        <v>0.1</v>
      </c>
      <c r="R75" s="11">
        <f>ROUND(Таб[[#This Row],[Зелений Тариф ЕЦ]]+Таб[[#This Row],[Зелений Тариф ЕЦ]]*Таб[[#This Row],[% надбавки]],4)</f>
        <v>0.112</v>
      </c>
      <c r="S75" s="21">
        <v>43745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BD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1359.9715599935405</v>
      </c>
      <c r="BE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1036.8056153696343</v>
      </c>
      <c r="BF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1147.8919313020954</v>
      </c>
      <c r="BG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894.20104137717385</v>
      </c>
      <c r="BH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823.90630239026086</v>
      </c>
      <c r="BI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766.66561785075419</v>
      </c>
      <c r="BJ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567.45625502028201</v>
      </c>
      <c r="BK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761.35891889719062</v>
      </c>
      <c r="BL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797.32867973251041</v>
      </c>
      <c r="BM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924.00774275641288</v>
      </c>
      <c r="BN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1150.0665397460798</v>
      </c>
      <c r="BO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1315.6282118543456</v>
      </c>
      <c r="BP75">
        <f>SUM(Таб[[#This Row],[1]:[12]])</f>
        <v>11545.288416290281</v>
      </c>
    </row>
    <row r="76" spans="2:68" ht="63.75">
      <c r="B76" t="s">
        <v>54</v>
      </c>
      <c r="D76" t="s">
        <v>3355</v>
      </c>
      <c r="F76" t="s">
        <v>3287</v>
      </c>
      <c r="G76" s="1" t="s">
        <v>115</v>
      </c>
      <c r="H76" t="s">
        <v>82</v>
      </c>
      <c r="I76" t="s">
        <v>91</v>
      </c>
      <c r="J76" s="7">
        <v>3.5</v>
      </c>
      <c r="K76" s="8">
        <v>43766</v>
      </c>
      <c r="L76" s="8">
        <v>43783</v>
      </c>
      <c r="M76">
        <v>10</v>
      </c>
      <c r="N76" s="9" t="s">
        <v>71</v>
      </c>
      <c r="O76">
        <v>2019</v>
      </c>
      <c r="P76">
        <v>0.1018</v>
      </c>
      <c r="Q76" s="10">
        <v>0.1</v>
      </c>
      <c r="R76" s="11">
        <f>ROUND(Таб[[#This Row],[Зелений Тариф ЕЦ]]+Таб[[#This Row],[Зелений Тариф ЕЦ]]*Таб[[#This Row],[% надбавки]],4)</f>
        <v>0.112</v>
      </c>
      <c r="S76" s="21">
        <v>43783</v>
      </c>
      <c r="T76"/>
      <c r="BD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1359.9715599935405</v>
      </c>
      <c r="BE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1036.8056153696343</v>
      </c>
      <c r="BF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1147.8919313020954</v>
      </c>
      <c r="BG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894.20104137717385</v>
      </c>
      <c r="BH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823.90630239026086</v>
      </c>
      <c r="BI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766.66561785075419</v>
      </c>
      <c r="BJ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567.45625502028201</v>
      </c>
      <c r="BK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761.35891889719062</v>
      </c>
      <c r="BL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797.32867973251041</v>
      </c>
      <c r="BM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924.00774275641288</v>
      </c>
      <c r="BN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1150.0665397460798</v>
      </c>
      <c r="BO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1315.6282118543456</v>
      </c>
      <c r="BP76">
        <f>SUM(Таб[[#This Row],[1]:[12]])</f>
        <v>11545.288416290281</v>
      </c>
    </row>
    <row r="77" spans="2:68" ht="63.75">
      <c r="B77" t="s">
        <v>54</v>
      </c>
      <c r="D77" t="s">
        <v>3355</v>
      </c>
      <c r="F77" t="s">
        <v>3287</v>
      </c>
      <c r="G77" s="1" t="s">
        <v>116</v>
      </c>
      <c r="H77" t="s">
        <v>82</v>
      </c>
      <c r="I77" t="s">
        <v>91</v>
      </c>
      <c r="J77" s="7">
        <v>14.4</v>
      </c>
      <c r="K77" s="8">
        <v>43816</v>
      </c>
      <c r="L77" s="8">
        <v>43858</v>
      </c>
      <c r="M77">
        <v>1</v>
      </c>
      <c r="N77" s="9" t="s">
        <v>67</v>
      </c>
      <c r="O77">
        <v>2020</v>
      </c>
      <c r="P77">
        <v>0.1018</v>
      </c>
      <c r="Q77" s="10">
        <v>0.1</v>
      </c>
      <c r="R77" s="11">
        <f>ROUND(Таб[[#This Row],[Зелений Тариф ЕЦ]]+Таб[[#This Row],[Зелений Тариф ЕЦ]]*Таб[[#This Row],[% надбавки]],4)</f>
        <v>0.112</v>
      </c>
      <c r="S77" s="21">
        <v>43858</v>
      </c>
      <c r="T77"/>
      <c r="BD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5595.3115611162812</v>
      </c>
      <c r="BE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4265.7145318064968</v>
      </c>
      <c r="BF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4722.7553745000496</v>
      </c>
      <c r="BG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3678.9985702375152</v>
      </c>
      <c r="BH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3389.7859298342164</v>
      </c>
      <c r="BI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3154.2813991573889</v>
      </c>
      <c r="BJ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2334.6771635120172</v>
      </c>
      <c r="BK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3132.4481234627274</v>
      </c>
      <c r="BL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3280.4379966137572</v>
      </c>
      <c r="BM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3801.6318559120987</v>
      </c>
      <c r="BN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4731.7023349553001</v>
      </c>
      <c r="BO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5412.8703573435942</v>
      </c>
      <c r="BP77">
        <f>SUM(Таб[[#This Row],[1]:[12]])</f>
        <v>47500.615198451436</v>
      </c>
    </row>
    <row r="78" spans="2:68">
      <c r="B78" t="s">
        <v>54</v>
      </c>
      <c r="G78" t="s">
        <v>117</v>
      </c>
      <c r="H78" t="s">
        <v>82</v>
      </c>
      <c r="J78" s="22">
        <v>6</v>
      </c>
      <c r="K78" s="8">
        <v>43816</v>
      </c>
      <c r="L78" s="8">
        <v>43943</v>
      </c>
      <c r="M78">
        <v>4</v>
      </c>
      <c r="N78" s="9" t="s">
        <v>57</v>
      </c>
      <c r="O78">
        <v>2020</v>
      </c>
      <c r="P78">
        <v>0.1018</v>
      </c>
      <c r="R78" s="11">
        <f>ROUND(Таб[[#This Row],[Зелений Тариф ЕЦ]]+Таб[[#This Row],[Зелений Тариф ЕЦ]]*Таб[[#This Row],[% надбавки]],4)</f>
        <v>0.1018</v>
      </c>
      <c r="S78" s="12"/>
      <c r="T78"/>
      <c r="BD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2331.3798171317835</v>
      </c>
      <c r="BE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1777.3810549193736</v>
      </c>
      <c r="BF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1967.8147393750207</v>
      </c>
      <c r="BG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1532.916070932298</v>
      </c>
      <c r="BH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1412.41080409759</v>
      </c>
      <c r="BI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1314.2839163155788</v>
      </c>
      <c r="BJ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972.78215146334037</v>
      </c>
      <c r="BK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1305.1867181094699</v>
      </c>
      <c r="BL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1366.8491652557323</v>
      </c>
      <c r="BM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1584.0132732967079</v>
      </c>
      <c r="BN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1971.5426395647082</v>
      </c>
      <c r="BO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2255.3626488931641</v>
      </c>
      <c r="BP78">
        <f>SUM(Таб[[#This Row],[1]:[12]])</f>
        <v>19791.922999354763</v>
      </c>
    </row>
    <row r="79" spans="2:68">
      <c r="B79" t="s">
        <v>54</v>
      </c>
      <c r="E79" t="s">
        <v>3285</v>
      </c>
      <c r="F79" t="s">
        <v>3286</v>
      </c>
      <c r="G79" t="s">
        <v>3468</v>
      </c>
      <c r="H79" t="s">
        <v>73</v>
      </c>
      <c r="I79" t="s">
        <v>111</v>
      </c>
      <c r="J79" s="22">
        <v>39</v>
      </c>
      <c r="K79" s="8">
        <v>43820</v>
      </c>
      <c r="L79" s="8">
        <v>44034</v>
      </c>
      <c r="M79">
        <v>7</v>
      </c>
      <c r="N79" s="150" t="s">
        <v>60</v>
      </c>
      <c r="O79">
        <v>2020</v>
      </c>
      <c r="P79">
        <v>0.1018</v>
      </c>
      <c r="R79" s="11">
        <f>ROUND(Таб[[#This Row],[Зелений Тариф ЕЦ]]+Таб[[#This Row],[Зелений Тариф ЕЦ]]*Таб[[#This Row],[% надбавки]],4)</f>
        <v>0.1018</v>
      </c>
      <c r="S79" s="12"/>
      <c r="T79"/>
      <c r="BD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15153.968811356594</v>
      </c>
      <c r="BE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11552.976856975929</v>
      </c>
      <c r="BF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12790.795805937636</v>
      </c>
      <c r="BG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9963.9544610599369</v>
      </c>
      <c r="BH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9180.6702266343345</v>
      </c>
      <c r="BI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8542.8454560512619</v>
      </c>
      <c r="BJ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6323.0839845117134</v>
      </c>
      <c r="BK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8483.7136677115541</v>
      </c>
      <c r="BL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8884.5195741622592</v>
      </c>
      <c r="BM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10296.086276428599</v>
      </c>
      <c r="BN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12815.027157170603</v>
      </c>
      <c r="BO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14659.857217805567</v>
      </c>
      <c r="BP79">
        <f>SUM(Таб[[#This Row],[1]:[12]])</f>
        <v>128647.49949580598</v>
      </c>
    </row>
    <row r="80" spans="2:68" ht="25.5">
      <c r="B80" t="s">
        <v>119</v>
      </c>
      <c r="C80" t="s">
        <v>118</v>
      </c>
      <c r="G80" s="1" t="s">
        <v>120</v>
      </c>
      <c r="H80" t="s">
        <v>122</v>
      </c>
      <c r="J80" s="7">
        <v>16</v>
      </c>
      <c r="K80" s="8"/>
      <c r="L80" s="8">
        <v>43655</v>
      </c>
      <c r="M80">
        <v>7</v>
      </c>
      <c r="N80" s="49" t="s">
        <v>60</v>
      </c>
      <c r="O80">
        <v>2019</v>
      </c>
      <c r="P80">
        <v>0.1239</v>
      </c>
      <c r="Q80" s="10"/>
      <c r="R80" s="11">
        <f>ROUND(Таб[[#This Row],[Зелений Тариф ЕЦ]]+Таб[[#This Row],[Зелений Тариф ЕЦ]]*Таб[[#This Row],[% надбавки]],4)</f>
        <v>0.1239</v>
      </c>
      <c r="S80" s="50"/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BD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5237.76</v>
      </c>
      <c r="BE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4730.88</v>
      </c>
      <c r="BF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5237.76</v>
      </c>
      <c r="BG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5068.7999999999993</v>
      </c>
      <c r="BH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5237.76</v>
      </c>
      <c r="BI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5068.7999999999993</v>
      </c>
      <c r="BJ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5237.76</v>
      </c>
      <c r="BK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5237.76</v>
      </c>
      <c r="BL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5068.7999999999993</v>
      </c>
      <c r="BM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5237.76</v>
      </c>
      <c r="BN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5068.7999999999993</v>
      </c>
      <c r="BO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5237.76</v>
      </c>
      <c r="BP80">
        <f>SUM(Таб[[#This Row],[1]:[12]])</f>
        <v>61670.400000000001</v>
      </c>
    </row>
    <row r="81" spans="2:68" ht="38.25">
      <c r="B81" t="s">
        <v>119</v>
      </c>
      <c r="C81" t="s">
        <v>118</v>
      </c>
      <c r="D81" t="s">
        <v>3449</v>
      </c>
      <c r="F81" t="s">
        <v>3287</v>
      </c>
      <c r="G81" s="1" t="s">
        <v>126</v>
      </c>
      <c r="H81" t="s">
        <v>107</v>
      </c>
      <c r="J81" s="7">
        <v>19</v>
      </c>
      <c r="K81" s="8">
        <v>43692</v>
      </c>
      <c r="L81" s="8">
        <v>41606</v>
      </c>
      <c r="M81">
        <v>11</v>
      </c>
      <c r="N81" s="49" t="s">
        <v>71</v>
      </c>
      <c r="O81">
        <v>2013</v>
      </c>
      <c r="P81">
        <v>0.1239</v>
      </c>
      <c r="Q81" s="10"/>
      <c r="R81" s="11">
        <f>ROUND(Таб[[#This Row],[Зелений Тариф ЕЦ]]+Таб[[#This Row],[Зелений Тариф ЕЦ]]*Таб[[#This Row],[% надбавки]],4)</f>
        <v>0.1239</v>
      </c>
      <c r="S81" s="50"/>
      <c r="T81">
        <v>1.929</v>
      </c>
      <c r="U81">
        <v>1.3049999999999999</v>
      </c>
      <c r="V81">
        <v>1.8220000000000001</v>
      </c>
      <c r="W81">
        <v>2.2839999999999998</v>
      </c>
      <c r="X81">
        <v>1.9960000000000004</v>
      </c>
      <c r="Y81">
        <v>2.5419999999999998</v>
      </c>
      <c r="Z81">
        <v>2.8089999999999993</v>
      </c>
      <c r="AA81">
        <v>2.3370000000000015</v>
      </c>
      <c r="AB81">
        <v>2.5210000000000008</v>
      </c>
      <c r="AC81">
        <v>1.6409999999999982</v>
      </c>
      <c r="AD81">
        <v>0.57900000000000063</v>
      </c>
      <c r="AE81">
        <v>2.8969999999999985</v>
      </c>
      <c r="AF81">
        <v>2.4940000000000002</v>
      </c>
      <c r="AG81">
        <v>1.9570000000000001</v>
      </c>
      <c r="AH81">
        <v>1.976</v>
      </c>
      <c r="AI81">
        <v>1.698</v>
      </c>
      <c r="AJ81">
        <v>1.9179999999999999</v>
      </c>
      <c r="AK81">
        <v>1.4410000000000001</v>
      </c>
      <c r="AL81">
        <v>2.0070000000000001</v>
      </c>
      <c r="AM81">
        <v>2.1549999999999998</v>
      </c>
      <c r="AN81">
        <v>1.77</v>
      </c>
      <c r="AO81">
        <v>2.1110000000000002</v>
      </c>
      <c r="AP81">
        <v>1.611</v>
      </c>
      <c r="AQ81">
        <v>1.9159999999999999</v>
      </c>
      <c r="AR81">
        <v>2.214</v>
      </c>
      <c r="AS81">
        <v>1.8859999999999999</v>
      </c>
      <c r="AT81">
        <v>3.8730000000000002</v>
      </c>
      <c r="AU81">
        <v>5.0129999999999999</v>
      </c>
      <c r="AV81">
        <v>3.22</v>
      </c>
      <c r="AW81">
        <v>4.9889999999999999</v>
      </c>
      <c r="AX81">
        <v>6.6000000000000003E-2</v>
      </c>
      <c r="AY81">
        <v>2.641</v>
      </c>
      <c r="BD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6219.8399999999992</v>
      </c>
      <c r="BE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5617.92</v>
      </c>
      <c r="BF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6219.8399999999992</v>
      </c>
      <c r="BG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6019.2</v>
      </c>
      <c r="BH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6219.8399999999992</v>
      </c>
      <c r="BI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6019.2</v>
      </c>
      <c r="BJ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6219.8399999999992</v>
      </c>
      <c r="BK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6219.8399999999992</v>
      </c>
      <c r="BL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6019.2</v>
      </c>
      <c r="BM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6219.8399999999992</v>
      </c>
      <c r="BN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6019.2</v>
      </c>
      <c r="BO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6219.8399999999992</v>
      </c>
      <c r="BP81">
        <f>SUM(Таб[[#This Row],[1]:[12]])</f>
        <v>73233.599999999977</v>
      </c>
    </row>
    <row r="82" spans="2:68" ht="38.25">
      <c r="B82" t="s">
        <v>119</v>
      </c>
      <c r="C82" t="s">
        <v>118</v>
      </c>
      <c r="G82" s="1" t="s">
        <v>130</v>
      </c>
      <c r="H82" t="s">
        <v>82</v>
      </c>
      <c r="I82" t="s">
        <v>132</v>
      </c>
      <c r="J82" s="7">
        <v>5</v>
      </c>
      <c r="K82" s="8"/>
      <c r="L82" s="8">
        <v>41627</v>
      </c>
      <c r="M82">
        <v>12</v>
      </c>
      <c r="N82" s="49" t="s">
        <v>71</v>
      </c>
      <c r="O82">
        <v>2013</v>
      </c>
      <c r="P82">
        <v>0.1239</v>
      </c>
      <c r="Q82" s="10"/>
      <c r="R82" s="11">
        <f>ROUND(Таб[[#This Row],[Зелений Тариф ЕЦ]]+Таб[[#This Row],[Зелений Тариф ЕЦ]]*Таб[[#This Row],[% надбавки]],4)</f>
        <v>0.1239</v>
      </c>
      <c r="S82" s="50"/>
      <c r="T82">
        <v>1.2390000000000001</v>
      </c>
      <c r="U82">
        <v>1.131</v>
      </c>
      <c r="V82">
        <v>1.3209999999999997</v>
      </c>
      <c r="W82">
        <v>1.1720000000000006</v>
      </c>
      <c r="X82">
        <v>1.2869999999999999</v>
      </c>
      <c r="Y82">
        <v>1.2869999999999999</v>
      </c>
      <c r="Z82">
        <v>1.2529999999999992</v>
      </c>
      <c r="AA82">
        <v>1.2210000000000001</v>
      </c>
      <c r="AB82">
        <v>1.5609999999999999</v>
      </c>
      <c r="AC82">
        <v>0.99300000000000033</v>
      </c>
      <c r="AD82">
        <v>1.5500000000000007</v>
      </c>
      <c r="AE82">
        <v>1.0729999999999986</v>
      </c>
      <c r="AF82">
        <v>0.83899999999999997</v>
      </c>
      <c r="AG82">
        <v>0.72799999999999998</v>
      </c>
      <c r="AH82">
        <v>0.879</v>
      </c>
      <c r="AI82">
        <v>1.2110000000000001</v>
      </c>
      <c r="AJ82">
        <v>1.012</v>
      </c>
      <c r="AK82">
        <v>1.147</v>
      </c>
      <c r="AL82">
        <v>1.218</v>
      </c>
      <c r="AM82">
        <v>1.131</v>
      </c>
      <c r="AN82">
        <v>1.29</v>
      </c>
      <c r="AO82">
        <v>0.82899999999999996</v>
      </c>
      <c r="AP82">
        <v>1.0009999999999999</v>
      </c>
      <c r="AQ82">
        <v>0.83799999999999997</v>
      </c>
      <c r="AR82">
        <v>0.35199999999999998</v>
      </c>
      <c r="AS82">
        <v>0.187</v>
      </c>
      <c r="AT82">
        <v>0.92600000000000005</v>
      </c>
      <c r="AU82">
        <v>0.98699999999999999</v>
      </c>
      <c r="AV82">
        <v>1.5269999999999999</v>
      </c>
      <c r="AW82">
        <v>0.72099999999999997</v>
      </c>
      <c r="AX82">
        <v>0.45200000000000001</v>
      </c>
      <c r="AY82">
        <v>0</v>
      </c>
      <c r="BD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1636.8000000000002</v>
      </c>
      <c r="BE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1478.4</v>
      </c>
      <c r="BF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1636.8000000000002</v>
      </c>
      <c r="BG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1584</v>
      </c>
      <c r="BH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1636.8000000000002</v>
      </c>
      <c r="BI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1584</v>
      </c>
      <c r="BJ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1636.8000000000002</v>
      </c>
      <c r="BK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1636.8000000000002</v>
      </c>
      <c r="BL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1584</v>
      </c>
      <c r="BM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1636.8000000000002</v>
      </c>
      <c r="BN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1584</v>
      </c>
      <c r="BO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1636.8000000000002</v>
      </c>
      <c r="BP82">
        <f>SUM(Таб[[#This Row],[1]:[12]])</f>
        <v>19271.999999999996</v>
      </c>
    </row>
    <row r="83" spans="2:68" ht="51">
      <c r="B83" t="s">
        <v>119</v>
      </c>
      <c r="C83" t="s">
        <v>118</v>
      </c>
      <c r="G83" s="1" t="s">
        <v>135</v>
      </c>
      <c r="H83" t="s">
        <v>136</v>
      </c>
      <c r="I83" t="s">
        <v>137</v>
      </c>
      <c r="J83" s="7">
        <v>1.75</v>
      </c>
      <c r="K83" s="8"/>
      <c r="L83" s="8">
        <v>40179</v>
      </c>
      <c r="M83">
        <v>1</v>
      </c>
      <c r="N83" s="49" t="s">
        <v>67</v>
      </c>
      <c r="O83">
        <v>2010</v>
      </c>
      <c r="P83">
        <v>0.1239</v>
      </c>
      <c r="Q83" s="10"/>
      <c r="R83" s="11">
        <f>ROUND(Таб[[#This Row],[Зелений Тариф ЕЦ]]+Таб[[#This Row],[Зелений Тариф ЕЦ]]*Таб[[#This Row],[% надбавки]],4)</f>
        <v>0.1239</v>
      </c>
      <c r="S83" s="50"/>
      <c r="T83">
        <v>1.1930000000000001</v>
      </c>
      <c r="U83">
        <v>1.077</v>
      </c>
      <c r="V83">
        <v>1.044</v>
      </c>
      <c r="W83">
        <v>1.0780000000000003</v>
      </c>
      <c r="X83">
        <v>1.157</v>
      </c>
      <c r="Y83">
        <v>1.0189999999999992</v>
      </c>
      <c r="Z83">
        <v>0.96900000000000031</v>
      </c>
      <c r="AA83">
        <v>0.28399999999999981</v>
      </c>
      <c r="AB83">
        <v>0.61700000000000088</v>
      </c>
      <c r="AC83">
        <v>1.1489999999999991</v>
      </c>
      <c r="AD83">
        <v>0.97000000000000064</v>
      </c>
      <c r="AE83">
        <v>1.0459999999999994</v>
      </c>
      <c r="AF83">
        <v>1.1339999999999999</v>
      </c>
      <c r="AG83">
        <v>0.95699999999999996</v>
      </c>
      <c r="AH83">
        <v>0.73199999999999998</v>
      </c>
      <c r="AI83">
        <v>0.94099999999999995</v>
      </c>
      <c r="AJ83">
        <v>0.64400000000000002</v>
      </c>
      <c r="AK83">
        <v>0</v>
      </c>
      <c r="AL83">
        <v>0</v>
      </c>
      <c r="AM83">
        <v>0</v>
      </c>
      <c r="AN83">
        <v>0.85499999999999998</v>
      </c>
      <c r="AO83">
        <v>1.163</v>
      </c>
      <c r="AP83">
        <v>1.0329999999999999</v>
      </c>
      <c r="AQ83">
        <v>1.1359999999999999</v>
      </c>
      <c r="AR83">
        <v>1.0469999999999999</v>
      </c>
      <c r="AS83">
        <v>1.0389999999999999</v>
      </c>
      <c r="AT83">
        <v>0.96899999999999997</v>
      </c>
      <c r="AU83">
        <v>1.111</v>
      </c>
      <c r="AV83">
        <v>0.96</v>
      </c>
      <c r="AW83">
        <v>1.022</v>
      </c>
      <c r="AX83">
        <v>0.94199999999999995</v>
      </c>
      <c r="AY83">
        <v>0.06</v>
      </c>
      <c r="BD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572.88</v>
      </c>
      <c r="BE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517.44000000000005</v>
      </c>
      <c r="BF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572.88</v>
      </c>
      <c r="BG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554.40000000000009</v>
      </c>
      <c r="BH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572.88</v>
      </c>
      <c r="BI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554.40000000000009</v>
      </c>
      <c r="BJ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572.88</v>
      </c>
      <c r="BK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572.88</v>
      </c>
      <c r="BL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554.40000000000009</v>
      </c>
      <c r="BM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572.88</v>
      </c>
      <c r="BN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554.40000000000009</v>
      </c>
      <c r="BO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572.88</v>
      </c>
      <c r="BP83">
        <f>SUM(Таб[[#This Row],[1]:[12]])</f>
        <v>6745.2000000000016</v>
      </c>
    </row>
    <row r="84" spans="2:68" ht="25.5">
      <c r="B84" t="s">
        <v>119</v>
      </c>
      <c r="C84" t="s">
        <v>118</v>
      </c>
      <c r="G84" s="1" t="s">
        <v>139</v>
      </c>
      <c r="H84" t="s">
        <v>141</v>
      </c>
      <c r="J84" s="7">
        <v>4</v>
      </c>
      <c r="K84" s="8"/>
      <c r="L84" s="8">
        <v>42558</v>
      </c>
      <c r="M84">
        <v>7</v>
      </c>
      <c r="N84" s="49" t="s">
        <v>60</v>
      </c>
      <c r="O84">
        <v>2016</v>
      </c>
      <c r="P84">
        <v>0.1239</v>
      </c>
      <c r="Q84" s="10"/>
      <c r="R84" s="11">
        <f>ROUND(Таб[[#This Row],[Зелений Тариф ЕЦ]]+Таб[[#This Row],[Зелений Тариф ЕЦ]]*Таб[[#This Row],[% надбавки]],4)</f>
        <v>0.1239</v>
      </c>
      <c r="S84" s="50"/>
      <c r="T84">
        <v>1.304</v>
      </c>
      <c r="U84">
        <v>1.1660000000000001</v>
      </c>
      <c r="V84">
        <v>1.5379999999999998</v>
      </c>
      <c r="W84">
        <v>0.86500000000000021</v>
      </c>
      <c r="X84">
        <v>1.2809999999999997</v>
      </c>
      <c r="Y84">
        <v>0.72499999999999964</v>
      </c>
      <c r="Z84">
        <v>0</v>
      </c>
      <c r="AA84">
        <v>1.5540000000000003</v>
      </c>
      <c r="AB84">
        <v>1.7550000000000008</v>
      </c>
      <c r="AC84">
        <v>2.0229999999999997</v>
      </c>
      <c r="AD84">
        <v>2.0449999999999999</v>
      </c>
      <c r="AE84">
        <v>2.0809999999999995</v>
      </c>
      <c r="AF84">
        <v>1.9630000000000001</v>
      </c>
      <c r="AG84">
        <v>1.9079999999999999</v>
      </c>
      <c r="AH84">
        <v>1.7989999999999999</v>
      </c>
      <c r="AI84">
        <v>1.087</v>
      </c>
      <c r="AJ84">
        <v>2.1349999999999998</v>
      </c>
      <c r="AK84">
        <v>1.982</v>
      </c>
      <c r="AL84">
        <v>2.149</v>
      </c>
      <c r="AM84">
        <v>2.1339999999999999</v>
      </c>
      <c r="AN84">
        <v>1.76</v>
      </c>
      <c r="AO84">
        <v>2.2000000000000002</v>
      </c>
      <c r="AP84">
        <v>2.11</v>
      </c>
      <c r="AQ84">
        <v>1.99</v>
      </c>
      <c r="AR84">
        <v>2.181</v>
      </c>
      <c r="AS84">
        <v>1.944</v>
      </c>
      <c r="AT84">
        <v>1.8169999999999999</v>
      </c>
      <c r="AU84">
        <v>2.1019999999999999</v>
      </c>
      <c r="AV84">
        <v>2.14</v>
      </c>
      <c r="AW84">
        <v>1.6539999999999999</v>
      </c>
      <c r="AX84">
        <v>2.097</v>
      </c>
      <c r="AY84">
        <v>2.0369999999999999</v>
      </c>
      <c r="BD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1309.44</v>
      </c>
      <c r="BE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1182.72</v>
      </c>
      <c r="BF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1309.44</v>
      </c>
      <c r="BG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1267.1999999999998</v>
      </c>
      <c r="BH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1309.44</v>
      </c>
      <c r="BI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1267.1999999999998</v>
      </c>
      <c r="BJ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1309.44</v>
      </c>
      <c r="BK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1309.44</v>
      </c>
      <c r="BL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1267.1999999999998</v>
      </c>
      <c r="BM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1309.44</v>
      </c>
      <c r="BN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1267.1999999999998</v>
      </c>
      <c r="BO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1309.44</v>
      </c>
      <c r="BP84">
        <f>SUM(Таб[[#This Row],[1]:[12]])</f>
        <v>15417.6</v>
      </c>
    </row>
    <row r="85" spans="2:68" ht="38.25">
      <c r="B85" t="s">
        <v>144</v>
      </c>
      <c r="C85" t="s">
        <v>3245</v>
      </c>
      <c r="G85" s="1" t="s">
        <v>145</v>
      </c>
      <c r="H85" t="s">
        <v>56</v>
      </c>
      <c r="J85" s="7">
        <v>2</v>
      </c>
      <c r="K85" s="8"/>
      <c r="L85" s="8">
        <v>41270</v>
      </c>
      <c r="M85">
        <v>12</v>
      </c>
      <c r="N85" s="49" t="s">
        <v>71</v>
      </c>
      <c r="O85">
        <v>2012</v>
      </c>
      <c r="P85">
        <v>0.1239</v>
      </c>
      <c r="Q85" s="10"/>
      <c r="R85" s="11">
        <f>ROUND(Таб[[#This Row],[Зелений Тариф ЕЦ]]+Таб[[#This Row],[Зелений Тариф ЕЦ]]*Таб[[#This Row],[% надбавки]],4)</f>
        <v>0.1239</v>
      </c>
      <c r="S85" s="50"/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BD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85">
        <f>SUM(Таб[[#This Row],[1]:[12]])</f>
        <v>0</v>
      </c>
    </row>
    <row r="86" spans="2:68" ht="38.25">
      <c r="B86" t="s">
        <v>119</v>
      </c>
      <c r="C86" t="s">
        <v>118</v>
      </c>
      <c r="G86" s="1" t="s">
        <v>149</v>
      </c>
      <c r="H86" t="s">
        <v>98</v>
      </c>
      <c r="I86" t="s">
        <v>150</v>
      </c>
      <c r="J86" s="7">
        <v>2.4</v>
      </c>
      <c r="K86" s="8"/>
      <c r="L86" s="8">
        <v>43434</v>
      </c>
      <c r="M86">
        <v>11</v>
      </c>
      <c r="N86" s="49" t="s">
        <v>71</v>
      </c>
      <c r="O86">
        <v>2018</v>
      </c>
      <c r="P86">
        <v>0.1239</v>
      </c>
      <c r="Q86" s="10"/>
      <c r="R86" s="11">
        <f>ROUND(Таб[[#This Row],[Зелений Тариф ЕЦ]]+Таб[[#This Row],[Зелений Тариф ЕЦ]]*Таб[[#This Row],[% надбавки]],4)</f>
        <v>0.1239</v>
      </c>
      <c r="S86" s="50"/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1.3280000000000001</v>
      </c>
      <c r="AR86">
        <v>1.1910000000000001</v>
      </c>
      <c r="AS86">
        <v>1.1459999999999999</v>
      </c>
      <c r="AT86">
        <v>1.1599999999999999</v>
      </c>
      <c r="AU86">
        <v>1.353</v>
      </c>
      <c r="AV86">
        <v>1.387</v>
      </c>
      <c r="AW86">
        <v>0.77500000000000002</v>
      </c>
      <c r="AX86">
        <v>1.161</v>
      </c>
      <c r="AY86">
        <v>1.329</v>
      </c>
      <c r="BD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785.6640000000001</v>
      </c>
      <c r="BE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709.63200000000006</v>
      </c>
      <c r="BF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785.6640000000001</v>
      </c>
      <c r="BG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760.31999999999994</v>
      </c>
      <c r="BH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785.6640000000001</v>
      </c>
      <c r="BI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760.31999999999994</v>
      </c>
      <c r="BJ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785.6640000000001</v>
      </c>
      <c r="BK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785.6640000000001</v>
      </c>
      <c r="BL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760.31999999999994</v>
      </c>
      <c r="BM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785.6640000000001</v>
      </c>
      <c r="BN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760.31999999999994</v>
      </c>
      <c r="BO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785.6640000000001</v>
      </c>
      <c r="BP86">
        <f>SUM(Таб[[#This Row],[1]:[12]])</f>
        <v>9250.5600000000013</v>
      </c>
    </row>
    <row r="87" spans="2:68" ht="63.75">
      <c r="B87" t="s">
        <v>119</v>
      </c>
      <c r="C87" t="s">
        <v>118</v>
      </c>
      <c r="G87" s="1" t="s">
        <v>153</v>
      </c>
      <c r="H87" t="s">
        <v>65</v>
      </c>
      <c r="I87" t="s">
        <v>154</v>
      </c>
      <c r="J87" s="7">
        <v>0.1</v>
      </c>
      <c r="K87" s="8"/>
      <c r="L87" s="8">
        <v>43382</v>
      </c>
      <c r="M87">
        <v>10</v>
      </c>
      <c r="N87" s="49" t="s">
        <v>71</v>
      </c>
      <c r="O87">
        <v>2018</v>
      </c>
      <c r="P87">
        <v>0.1239</v>
      </c>
      <c r="Q87" s="10"/>
      <c r="R87" s="11">
        <f>ROUND(Таб[[#This Row],[Зелений Тариф ЕЦ]]+Таб[[#This Row],[Зелений Тариф ЕЦ]]*Таб[[#This Row],[% надбавки]],4)</f>
        <v>0.1239</v>
      </c>
      <c r="S87" s="50"/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BD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32.736000000000004</v>
      </c>
      <c r="BE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29.568000000000005</v>
      </c>
      <c r="BF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32.736000000000004</v>
      </c>
      <c r="BG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31.68</v>
      </c>
      <c r="BH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32.736000000000004</v>
      </c>
      <c r="BI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31.68</v>
      </c>
      <c r="BJ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32.736000000000004</v>
      </c>
      <c r="BK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32.736000000000004</v>
      </c>
      <c r="BL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31.68</v>
      </c>
      <c r="BM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32.736000000000004</v>
      </c>
      <c r="BN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31.68</v>
      </c>
      <c r="BO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32.736000000000004</v>
      </c>
      <c r="BP87">
        <f>SUM(Таб[[#This Row],[1]:[12]])</f>
        <v>385.44</v>
      </c>
    </row>
    <row r="88" spans="2:68" ht="51">
      <c r="B88" t="s">
        <v>119</v>
      </c>
      <c r="C88" t="s">
        <v>118</v>
      </c>
      <c r="G88" s="1" t="s">
        <v>158</v>
      </c>
      <c r="H88" t="s">
        <v>82</v>
      </c>
      <c r="I88" t="s">
        <v>93</v>
      </c>
      <c r="J88" s="7">
        <v>5.12</v>
      </c>
      <c r="K88" s="8"/>
      <c r="L88" s="8">
        <v>43130</v>
      </c>
      <c r="M88">
        <v>1</v>
      </c>
      <c r="N88" s="49" t="s">
        <v>67</v>
      </c>
      <c r="O88">
        <v>2018</v>
      </c>
      <c r="P88">
        <v>0.1239</v>
      </c>
      <c r="Q88" s="10">
        <v>0.1</v>
      </c>
      <c r="R88" s="11">
        <f>ROUND(Таб[[#This Row],[Зелений Тариф ЕЦ]]+Таб[[#This Row],[Зелений Тариф ЕЦ]]*Таб[[#This Row],[% надбавки]],4)</f>
        <v>0.1363</v>
      </c>
      <c r="S88" s="50">
        <v>43263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0.67500000000000004</v>
      </c>
      <c r="AK88">
        <v>0.61899999999999999</v>
      </c>
      <c r="AL88">
        <v>0.92700000000000005</v>
      </c>
      <c r="AM88">
        <v>0.378</v>
      </c>
      <c r="AN88">
        <v>6.4000000000000001E-2</v>
      </c>
      <c r="AO88">
        <v>0.499</v>
      </c>
      <c r="AP88">
        <v>0.84799999999999998</v>
      </c>
      <c r="AQ88">
        <v>1.0269999999999999</v>
      </c>
      <c r="AR88">
        <v>0.182</v>
      </c>
      <c r="AS88">
        <v>0.77500000000000002</v>
      </c>
      <c r="AT88">
        <v>1.01</v>
      </c>
      <c r="AU88">
        <v>1.2450000000000001</v>
      </c>
      <c r="AV88">
        <v>1.0149999999999999</v>
      </c>
      <c r="AW88">
        <v>0.79900000000000004</v>
      </c>
      <c r="AX88">
        <v>1.0369999999999999</v>
      </c>
      <c r="AY88">
        <v>0.68799999999999994</v>
      </c>
      <c r="BD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1676.0832000000003</v>
      </c>
      <c r="BE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1513.8816000000002</v>
      </c>
      <c r="BF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1676.0832000000003</v>
      </c>
      <c r="BG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1622.0160000000001</v>
      </c>
      <c r="BH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1676.0832000000003</v>
      </c>
      <c r="BI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1622.0160000000001</v>
      </c>
      <c r="BJ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1676.0832000000003</v>
      </c>
      <c r="BK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1676.0832000000003</v>
      </c>
      <c r="BL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1622.0160000000001</v>
      </c>
      <c r="BM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1676.0832000000003</v>
      </c>
      <c r="BN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1622.0160000000001</v>
      </c>
      <c r="BO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1676.0832000000003</v>
      </c>
      <c r="BP88">
        <f>SUM(Таб[[#This Row],[1]:[12]])</f>
        <v>19734.528000000002</v>
      </c>
    </row>
    <row r="89" spans="2:68" ht="51">
      <c r="B89" t="s">
        <v>119</v>
      </c>
      <c r="C89" t="s">
        <v>118</v>
      </c>
      <c r="G89" s="1" t="s">
        <v>162</v>
      </c>
      <c r="H89" t="s">
        <v>163</v>
      </c>
      <c r="J89" s="7">
        <v>8.5</v>
      </c>
      <c r="K89" s="8"/>
      <c r="L89" s="8">
        <v>40330</v>
      </c>
      <c r="M89">
        <v>6</v>
      </c>
      <c r="N89" s="49" t="s">
        <v>57</v>
      </c>
      <c r="O89">
        <v>2010</v>
      </c>
      <c r="P89">
        <v>0.1239</v>
      </c>
      <c r="Q89" s="10"/>
      <c r="R89" s="11">
        <f>ROUND(Таб[[#This Row],[Зелений Тариф ЕЦ]]+Таб[[#This Row],[Зелений Тариф ЕЦ]]*Таб[[#This Row],[% надбавки]],4)</f>
        <v>0.1239</v>
      </c>
      <c r="S89" s="50"/>
      <c r="T89">
        <v>2.57</v>
      </c>
      <c r="U89">
        <v>2.1300000000000003</v>
      </c>
      <c r="V89">
        <v>2.6369999999999996</v>
      </c>
      <c r="W89">
        <v>3.7110000000000003</v>
      </c>
      <c r="X89">
        <v>3.4610000000000003</v>
      </c>
      <c r="Y89">
        <v>3.3129999999999988</v>
      </c>
      <c r="Z89">
        <v>3.4789999999999992</v>
      </c>
      <c r="AA89">
        <v>2.032</v>
      </c>
      <c r="AB89">
        <v>1.3719999999999999</v>
      </c>
      <c r="AC89">
        <v>2.8950000000000031</v>
      </c>
      <c r="AD89">
        <v>3.0960000000000001</v>
      </c>
      <c r="AE89">
        <v>2.8940000000000019</v>
      </c>
      <c r="AF89">
        <v>2.3370000000000002</v>
      </c>
      <c r="AG89">
        <v>2.1539999999999999</v>
      </c>
      <c r="AH89">
        <v>2.1579999999999999</v>
      </c>
      <c r="AI89">
        <v>2.9289999999999998</v>
      </c>
      <c r="AJ89">
        <v>2.6619999999999999</v>
      </c>
      <c r="AK89">
        <v>2.718</v>
      </c>
      <c r="AL89">
        <v>2.7240000000000002</v>
      </c>
      <c r="AM89">
        <v>0.95399999999999996</v>
      </c>
      <c r="AN89">
        <v>1.9990000000000001</v>
      </c>
      <c r="AO89">
        <v>2.302</v>
      </c>
      <c r="AP89">
        <v>2.133</v>
      </c>
      <c r="AQ89">
        <v>2.375</v>
      </c>
      <c r="AR89">
        <v>2.407</v>
      </c>
      <c r="AS89">
        <v>2.246</v>
      </c>
      <c r="AT89">
        <v>2.399</v>
      </c>
      <c r="AU89">
        <v>2.9860000000000002</v>
      </c>
      <c r="AV89">
        <v>3.109</v>
      </c>
      <c r="AW89">
        <v>2.702</v>
      </c>
      <c r="AX89">
        <v>2.0249999999999999</v>
      </c>
      <c r="AY89">
        <v>2.8420000000000001</v>
      </c>
      <c r="BD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2782.5600000000004</v>
      </c>
      <c r="BE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2513.2799999999997</v>
      </c>
      <c r="BF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2782.5600000000004</v>
      </c>
      <c r="BG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2692.8</v>
      </c>
      <c r="BH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2782.5600000000004</v>
      </c>
      <c r="BI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2692.8</v>
      </c>
      <c r="BJ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2782.5600000000004</v>
      </c>
      <c r="BK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2782.5600000000004</v>
      </c>
      <c r="BL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2692.8</v>
      </c>
      <c r="BM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2782.5600000000004</v>
      </c>
      <c r="BN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2692.8</v>
      </c>
      <c r="BO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2782.5600000000004</v>
      </c>
      <c r="BP89">
        <f>SUM(Таб[[#This Row],[1]:[12]])</f>
        <v>32762.400000000005</v>
      </c>
    </row>
    <row r="90" spans="2:68" ht="51">
      <c r="B90" t="s">
        <v>119</v>
      </c>
      <c r="C90" t="s">
        <v>118</v>
      </c>
      <c r="G90" s="1" t="s">
        <v>167</v>
      </c>
      <c r="H90" t="s">
        <v>107</v>
      </c>
      <c r="J90" s="7">
        <v>5</v>
      </c>
      <c r="K90" s="8"/>
      <c r="L90" s="8">
        <v>43434</v>
      </c>
      <c r="M90">
        <v>11</v>
      </c>
      <c r="N90" s="49" t="s">
        <v>71</v>
      </c>
      <c r="O90">
        <v>2018</v>
      </c>
      <c r="P90">
        <v>0.1239</v>
      </c>
      <c r="Q90" s="10">
        <v>0.1</v>
      </c>
      <c r="R90" s="11">
        <f>ROUND(Таб[[#This Row],[Зелений Тариф ЕЦ]]+Таб[[#This Row],[Зелений Тариф ЕЦ]]*Таб[[#This Row],[% надбавки]],4)</f>
        <v>0.1363</v>
      </c>
      <c r="S90" s="50">
        <v>43762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0.91500000000000004</v>
      </c>
      <c r="AQ90">
        <v>1.397</v>
      </c>
      <c r="AR90">
        <v>1.74</v>
      </c>
      <c r="AS90">
        <v>1.6319999999999999</v>
      </c>
      <c r="AT90">
        <v>1.234</v>
      </c>
      <c r="AU90">
        <v>1.431</v>
      </c>
      <c r="AV90">
        <v>2.8</v>
      </c>
      <c r="AW90">
        <v>2.2250000000000001</v>
      </c>
      <c r="AX90">
        <v>2.7930000000000001</v>
      </c>
      <c r="AY90">
        <v>1.1140000000000001</v>
      </c>
      <c r="BD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1636.8000000000002</v>
      </c>
      <c r="BE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1478.4</v>
      </c>
      <c r="BF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1636.8000000000002</v>
      </c>
      <c r="BG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1584</v>
      </c>
      <c r="BH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1636.8000000000002</v>
      </c>
      <c r="BI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1584</v>
      </c>
      <c r="BJ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1636.8000000000002</v>
      </c>
      <c r="BK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1636.8000000000002</v>
      </c>
      <c r="BL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1584</v>
      </c>
      <c r="BM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1636.8000000000002</v>
      </c>
      <c r="BN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1584</v>
      </c>
      <c r="BO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1636.8000000000002</v>
      </c>
      <c r="BP90">
        <f>SUM(Таб[[#This Row],[1]:[12]])</f>
        <v>19271.999999999996</v>
      </c>
    </row>
    <row r="91" spans="2:68" ht="51">
      <c r="B91" t="s">
        <v>119</v>
      </c>
      <c r="C91" t="s">
        <v>118</v>
      </c>
      <c r="G91" s="1" t="s">
        <v>170</v>
      </c>
      <c r="H91" t="s">
        <v>172</v>
      </c>
      <c r="I91" t="s">
        <v>173</v>
      </c>
      <c r="J91" s="7">
        <v>1.6</v>
      </c>
      <c r="K91" s="8">
        <v>43717</v>
      </c>
      <c r="L91" s="8">
        <v>43783</v>
      </c>
      <c r="M91">
        <v>11</v>
      </c>
      <c r="N91" s="49" t="s">
        <v>71</v>
      </c>
      <c r="O91">
        <v>2019</v>
      </c>
      <c r="P91">
        <v>0.1239</v>
      </c>
      <c r="Q91" s="10">
        <v>0.1</v>
      </c>
      <c r="R91" s="11">
        <f>ROUND(Таб[[#This Row],[Зелений Тариф ЕЦ]]+Таб[[#This Row],[Зелений Тариф ЕЦ]]*Таб[[#This Row],[% надбавки]],4)</f>
        <v>0.1363</v>
      </c>
      <c r="S91" s="50">
        <v>43809</v>
      </c>
      <c r="T91"/>
      <c r="BD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523.77600000000007</v>
      </c>
      <c r="BE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473.08800000000008</v>
      </c>
      <c r="BF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523.77600000000007</v>
      </c>
      <c r="BG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506.88</v>
      </c>
      <c r="BH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523.77600000000007</v>
      </c>
      <c r="BI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506.88</v>
      </c>
      <c r="BJ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523.77600000000007</v>
      </c>
      <c r="BK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523.77600000000007</v>
      </c>
      <c r="BL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506.88</v>
      </c>
      <c r="BM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523.77600000000007</v>
      </c>
      <c r="BN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506.88</v>
      </c>
      <c r="BO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523.77600000000007</v>
      </c>
      <c r="BP91">
        <f>SUM(Таб[[#This Row],[1]:[12]])</f>
        <v>6167.04</v>
      </c>
    </row>
    <row r="92" spans="2:68" ht="38.25">
      <c r="B92" t="s">
        <v>119</v>
      </c>
      <c r="C92" t="s">
        <v>118</v>
      </c>
      <c r="G92" s="1" t="s">
        <v>175</v>
      </c>
      <c r="H92" t="s">
        <v>176</v>
      </c>
      <c r="J92" s="7">
        <v>5.8979999999999997</v>
      </c>
      <c r="K92" s="8">
        <v>43739</v>
      </c>
      <c r="L92" s="8">
        <v>43813</v>
      </c>
      <c r="M92">
        <v>12</v>
      </c>
      <c r="N92" s="49" t="s">
        <v>71</v>
      </c>
      <c r="O92">
        <v>2019</v>
      </c>
      <c r="P92">
        <v>0.1239</v>
      </c>
      <c r="Q92" s="10"/>
      <c r="R92" s="11">
        <f>ROUND(Таб[[#This Row],[Зелений Тариф ЕЦ]]+Таб[[#This Row],[Зелений Тариф ЕЦ]]*Таб[[#This Row],[% надбавки]],4)</f>
        <v>0.1239</v>
      </c>
      <c r="S92" s="50"/>
      <c r="T92"/>
      <c r="BD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1930.7692800000002</v>
      </c>
      <c r="BE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1743.9206399999998</v>
      </c>
      <c r="BF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1930.7692800000002</v>
      </c>
      <c r="BG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1868.4864</v>
      </c>
      <c r="BH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1930.7692800000002</v>
      </c>
      <c r="BI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1868.4864</v>
      </c>
      <c r="BJ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1930.7692800000002</v>
      </c>
      <c r="BK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1930.7692800000002</v>
      </c>
      <c r="BL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1868.4864</v>
      </c>
      <c r="BM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1930.7692800000002</v>
      </c>
      <c r="BN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1868.4864</v>
      </c>
      <c r="BO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1930.7692800000002</v>
      </c>
      <c r="BP92">
        <f>SUM(Таб[[#This Row],[1]:[12]])</f>
        <v>22733.251200000002</v>
      </c>
    </row>
    <row r="93" spans="2:68" ht="102">
      <c r="B93" t="s">
        <v>119</v>
      </c>
      <c r="C93" t="s">
        <v>118</v>
      </c>
      <c r="G93" s="1" t="s">
        <v>179</v>
      </c>
      <c r="H93" t="s">
        <v>65</v>
      </c>
      <c r="I93" t="s">
        <v>181</v>
      </c>
      <c r="J93" s="7">
        <v>0.05</v>
      </c>
      <c r="K93" s="8">
        <v>43593</v>
      </c>
      <c r="L93" s="8">
        <v>43819</v>
      </c>
      <c r="M93">
        <v>12</v>
      </c>
      <c r="N93" s="49" t="s">
        <v>71</v>
      </c>
      <c r="O93">
        <v>2019</v>
      </c>
      <c r="P93">
        <v>0.1239</v>
      </c>
      <c r="Q93" s="10"/>
      <c r="R93" s="11">
        <f>ROUND(Таб[[#This Row],[Зелений Тариф ЕЦ]]+Таб[[#This Row],[Зелений Тариф ЕЦ]]*Таб[[#This Row],[% надбавки]],4)</f>
        <v>0.1239</v>
      </c>
      <c r="S93" s="50"/>
      <c r="T93"/>
      <c r="BD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16.368000000000002</v>
      </c>
      <c r="BE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14.784000000000002</v>
      </c>
      <c r="BF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16.368000000000002</v>
      </c>
      <c r="BG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15.84</v>
      </c>
      <c r="BH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16.368000000000002</v>
      </c>
      <c r="BI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15.84</v>
      </c>
      <c r="BJ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16.368000000000002</v>
      </c>
      <c r="BK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16.368000000000002</v>
      </c>
      <c r="BL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15.84</v>
      </c>
      <c r="BM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16.368000000000002</v>
      </c>
      <c r="BN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15.84</v>
      </c>
      <c r="BO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16.368000000000002</v>
      </c>
      <c r="BP93">
        <f>SUM(Таб[[#This Row],[1]:[12]])</f>
        <v>192.72</v>
      </c>
    </row>
    <row r="94" spans="2:68" ht="63.75">
      <c r="B94" t="s">
        <v>119</v>
      </c>
      <c r="C94" t="s">
        <v>118</v>
      </c>
      <c r="G94" s="1" t="s">
        <v>184</v>
      </c>
      <c r="H94" t="s">
        <v>185</v>
      </c>
      <c r="I94" t="s">
        <v>186</v>
      </c>
      <c r="J94" s="7">
        <v>7</v>
      </c>
      <c r="K94" s="8">
        <v>43810</v>
      </c>
      <c r="L94" s="8">
        <v>43847</v>
      </c>
      <c r="M94">
        <v>1</v>
      </c>
      <c r="N94" s="49" t="s">
        <v>67</v>
      </c>
      <c r="O94">
        <v>2020</v>
      </c>
      <c r="P94">
        <v>0.1239</v>
      </c>
      <c r="Q94" s="10"/>
      <c r="R94" s="11">
        <f>ROUND(Таб[[#This Row],[Зелений Тариф ЕЦ]]+Таб[[#This Row],[Зелений Тариф ЕЦ]]*Таб[[#This Row],[% надбавки]],4)</f>
        <v>0.1239</v>
      </c>
      <c r="S94" s="50"/>
      <c r="T94"/>
      <c r="BD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2291.52</v>
      </c>
      <c r="BE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2069.7600000000002</v>
      </c>
      <c r="BF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2291.52</v>
      </c>
      <c r="BG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2217.6000000000004</v>
      </c>
      <c r="BH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2291.52</v>
      </c>
      <c r="BI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2217.6000000000004</v>
      </c>
      <c r="BJ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2291.52</v>
      </c>
      <c r="BK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2291.52</v>
      </c>
      <c r="BL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2217.6000000000004</v>
      </c>
      <c r="BM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2291.52</v>
      </c>
      <c r="BN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2217.6000000000004</v>
      </c>
      <c r="BO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2291.52</v>
      </c>
      <c r="BP94">
        <f>SUM(Таб[[#This Row],[1]:[12]])</f>
        <v>26980.800000000007</v>
      </c>
    </row>
    <row r="95" spans="2:68" ht="51">
      <c r="B95" t="s">
        <v>119</v>
      </c>
      <c r="C95" t="s">
        <v>118</v>
      </c>
      <c r="G95" s="1" t="s">
        <v>189</v>
      </c>
      <c r="H95" t="s">
        <v>163</v>
      </c>
      <c r="I95" t="s">
        <v>191</v>
      </c>
      <c r="J95" s="7">
        <v>7.5</v>
      </c>
      <c r="K95" s="8"/>
      <c r="L95" s="8">
        <v>43749</v>
      </c>
      <c r="M95">
        <v>10</v>
      </c>
      <c r="N95" s="49" t="s">
        <v>71</v>
      </c>
      <c r="O95">
        <v>2019</v>
      </c>
      <c r="P95">
        <v>0.1239</v>
      </c>
      <c r="Q95" s="10"/>
      <c r="R95" s="11">
        <f>ROUND(Таб[[#This Row],[Зелений Тариф ЕЦ]]+Таб[[#This Row],[Зелений Тариф ЕЦ]]*Таб[[#This Row],[% надбавки]],4)</f>
        <v>0.1239</v>
      </c>
      <c r="S95" s="50"/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BD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2455.1999999999998</v>
      </c>
      <c r="BE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2217.6</v>
      </c>
      <c r="BF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2455.1999999999998</v>
      </c>
      <c r="BG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2376</v>
      </c>
      <c r="BH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2455.1999999999998</v>
      </c>
      <c r="BI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2376</v>
      </c>
      <c r="BJ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2455.1999999999998</v>
      </c>
      <c r="BK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2455.1999999999998</v>
      </c>
      <c r="BL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2376</v>
      </c>
      <c r="BM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2455.1999999999998</v>
      </c>
      <c r="BN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2376</v>
      </c>
      <c r="BO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2455.1999999999998</v>
      </c>
      <c r="BP95">
        <f>SUM(Таб[[#This Row],[1]:[12]])</f>
        <v>28908.000000000004</v>
      </c>
    </row>
    <row r="96" spans="2:68" ht="25.5">
      <c r="B96" t="s">
        <v>119</v>
      </c>
      <c r="C96" t="s">
        <v>118</v>
      </c>
      <c r="G96" s="1" t="s">
        <v>193</v>
      </c>
      <c r="H96" t="s">
        <v>69</v>
      </c>
      <c r="J96" s="7">
        <v>2.7</v>
      </c>
      <c r="K96" s="8">
        <v>43826</v>
      </c>
      <c r="L96" s="8">
        <v>43943</v>
      </c>
      <c r="M96">
        <v>4</v>
      </c>
      <c r="N96" s="49" t="s">
        <v>57</v>
      </c>
      <c r="O96">
        <v>2020</v>
      </c>
      <c r="P96">
        <v>0.1239</v>
      </c>
      <c r="Q96" s="10"/>
      <c r="R96" s="11">
        <f>ROUND(Таб[[#This Row],[Зелений Тариф ЕЦ]]+Таб[[#This Row],[Зелений Тариф ЕЦ]]*Таб[[#This Row],[% надбавки]],4)</f>
        <v>0.1239</v>
      </c>
      <c r="S96" s="50"/>
      <c r="T96"/>
      <c r="BD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883.87200000000007</v>
      </c>
      <c r="BE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798.33600000000001</v>
      </c>
      <c r="BF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883.87200000000007</v>
      </c>
      <c r="BG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855.36000000000013</v>
      </c>
      <c r="BH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883.87200000000007</v>
      </c>
      <c r="BI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855.36000000000013</v>
      </c>
      <c r="BJ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883.87200000000007</v>
      </c>
      <c r="BK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883.87200000000007</v>
      </c>
      <c r="BL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855.36000000000013</v>
      </c>
      <c r="BM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883.87200000000007</v>
      </c>
      <c r="BN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855.36000000000013</v>
      </c>
      <c r="BO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883.87200000000007</v>
      </c>
      <c r="BP96">
        <f>SUM(Таб[[#This Row],[1]:[12]])</f>
        <v>10406.880000000001</v>
      </c>
    </row>
    <row r="97" spans="2:68" ht="38.25">
      <c r="B97" t="s">
        <v>119</v>
      </c>
      <c r="C97" t="s">
        <v>195</v>
      </c>
      <c r="G97" s="1" t="s">
        <v>196</v>
      </c>
      <c r="H97" t="s">
        <v>198</v>
      </c>
      <c r="I97" t="s">
        <v>199</v>
      </c>
      <c r="J97" s="7">
        <v>0.63</v>
      </c>
      <c r="K97" s="8"/>
      <c r="L97" s="8">
        <v>42831</v>
      </c>
      <c r="M97">
        <v>4</v>
      </c>
      <c r="N97" s="49" t="s">
        <v>57</v>
      </c>
      <c r="O97">
        <v>2017</v>
      </c>
      <c r="P97">
        <v>0.1239</v>
      </c>
      <c r="Q97" s="10"/>
      <c r="R97" s="11">
        <f>ROUND(Таб[[#This Row],[Зелений Тариф ЕЦ]]+Таб[[#This Row],[Зелений Тариф ЕЦ]]*Таб[[#This Row],[% надбавки]],4)</f>
        <v>0.1239</v>
      </c>
      <c r="S97" s="50"/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1E-3</v>
      </c>
      <c r="AB97">
        <v>0</v>
      </c>
      <c r="AC97">
        <v>1E-3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2E-3</v>
      </c>
      <c r="AK97">
        <v>7.0000000000000001E-3</v>
      </c>
      <c r="AL97">
        <v>0</v>
      </c>
      <c r="AM97">
        <v>1E-3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BD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206.23679999999999</v>
      </c>
      <c r="BE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186.27839999999998</v>
      </c>
      <c r="BF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206.23679999999999</v>
      </c>
      <c r="BG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199.584</v>
      </c>
      <c r="BH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206.23679999999999</v>
      </c>
      <c r="BI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199.584</v>
      </c>
      <c r="BJ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206.23679999999999</v>
      </c>
      <c r="BK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206.23679999999999</v>
      </c>
      <c r="BL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199.584</v>
      </c>
      <c r="BM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206.23679999999999</v>
      </c>
      <c r="BN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199.584</v>
      </c>
      <c r="BO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206.23679999999999</v>
      </c>
      <c r="BP97">
        <f>SUM(Таб[[#This Row],[1]:[12]])</f>
        <v>2428.2719999999999</v>
      </c>
    </row>
    <row r="98" spans="2:68" ht="63.75">
      <c r="B98" t="s">
        <v>119</v>
      </c>
      <c r="C98" t="s">
        <v>195</v>
      </c>
      <c r="G98" s="1" t="s">
        <v>201</v>
      </c>
      <c r="H98" t="s">
        <v>82</v>
      </c>
      <c r="I98" t="s">
        <v>202</v>
      </c>
      <c r="J98" s="7">
        <v>0.125</v>
      </c>
      <c r="K98" s="8"/>
      <c r="L98" s="8">
        <v>43144</v>
      </c>
      <c r="M98">
        <v>2</v>
      </c>
      <c r="N98" s="49" t="s">
        <v>67</v>
      </c>
      <c r="O98">
        <v>2018</v>
      </c>
      <c r="P98">
        <v>0.1239</v>
      </c>
      <c r="Q98" s="10"/>
      <c r="R98" s="11">
        <f>ROUND(Таб[[#This Row],[Зелений Тариф ЕЦ]]+Таб[[#This Row],[Зелений Тариф ЕЦ]]*Таб[[#This Row],[% надбавки]],4)</f>
        <v>0.1239</v>
      </c>
      <c r="S98" s="50"/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BD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40.92</v>
      </c>
      <c r="BE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36.96</v>
      </c>
      <c r="BF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40.92</v>
      </c>
      <c r="BG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39.599999999999994</v>
      </c>
      <c r="BH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40.92</v>
      </c>
      <c r="BI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39.599999999999994</v>
      </c>
      <c r="BJ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40.92</v>
      </c>
      <c r="BK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40.92</v>
      </c>
      <c r="BL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39.599999999999994</v>
      </c>
      <c r="BM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40.92</v>
      </c>
      <c r="BN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39.599999999999994</v>
      </c>
      <c r="BO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40.92</v>
      </c>
      <c r="BP98">
        <f>SUM(Таб[[#This Row],[1]:[12]])</f>
        <v>481.8</v>
      </c>
    </row>
    <row r="99" spans="2:68" ht="25.5">
      <c r="B99" t="s">
        <v>119</v>
      </c>
      <c r="C99" t="s">
        <v>195</v>
      </c>
      <c r="G99" s="1" t="s">
        <v>206</v>
      </c>
      <c r="H99" t="s">
        <v>198</v>
      </c>
      <c r="I99" t="s">
        <v>208</v>
      </c>
      <c r="J99" s="7">
        <v>0.999</v>
      </c>
      <c r="K99" s="8"/>
      <c r="L99" s="8">
        <v>42334</v>
      </c>
      <c r="M99">
        <v>11</v>
      </c>
      <c r="N99" s="49" t="s">
        <v>71</v>
      </c>
      <c r="O99">
        <v>2015</v>
      </c>
      <c r="P99">
        <v>0.1239</v>
      </c>
      <c r="Q99" s="10"/>
      <c r="R99" s="11">
        <f>ROUND(Таб[[#This Row],[Зелений Тариф ЕЦ]]+Таб[[#This Row],[Зелений Тариф ЕЦ]]*Таб[[#This Row],[% надбавки]],4)</f>
        <v>0.1239</v>
      </c>
      <c r="S99" s="50"/>
      <c r="T99">
        <v>0.43099999999999999</v>
      </c>
      <c r="U99">
        <v>0.36400000000000005</v>
      </c>
      <c r="V99">
        <v>0.41499999999999992</v>
      </c>
      <c r="W99">
        <v>0.28900000000000015</v>
      </c>
      <c r="X99">
        <v>0.24</v>
      </c>
      <c r="Y99">
        <v>0.23599999999999999</v>
      </c>
      <c r="Z99">
        <v>0.42599999999999971</v>
      </c>
      <c r="AA99">
        <v>0.43800000000000017</v>
      </c>
      <c r="AB99">
        <v>0.40500000000000025</v>
      </c>
      <c r="AC99">
        <v>0.27099999999999991</v>
      </c>
      <c r="AD99">
        <v>0.39299999999999979</v>
      </c>
      <c r="AE99">
        <v>0.43100000000000049</v>
      </c>
      <c r="AF99">
        <v>0.53900000000000003</v>
      </c>
      <c r="AG99">
        <v>0.41699999999999998</v>
      </c>
      <c r="AH99">
        <v>0.48599999999999999</v>
      </c>
      <c r="AI99">
        <v>0.495</v>
      </c>
      <c r="AJ99">
        <v>0.5</v>
      </c>
      <c r="AK99">
        <v>0.42099999999999999</v>
      </c>
      <c r="AL99">
        <v>0.502</v>
      </c>
      <c r="AM99">
        <v>0.51300000000000001</v>
      </c>
      <c r="AN99">
        <v>0.50900000000000001</v>
      </c>
      <c r="AO99">
        <v>0.47099999999999997</v>
      </c>
      <c r="AP99">
        <v>0.52400000000000002</v>
      </c>
      <c r="AQ99">
        <v>0.53700000000000003</v>
      </c>
      <c r="AR99">
        <v>0.54600000000000004</v>
      </c>
      <c r="AS99">
        <v>0.495</v>
      </c>
      <c r="AT99">
        <v>0.53800000000000003</v>
      </c>
      <c r="AU99">
        <v>0.50800000000000001</v>
      </c>
      <c r="AV99">
        <v>0.50800000000000001</v>
      </c>
      <c r="AW99">
        <v>0.48099999999999998</v>
      </c>
      <c r="AX99">
        <v>0.504</v>
      </c>
      <c r="AY99">
        <v>0.51100000000000001</v>
      </c>
      <c r="BD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327.03264000000001</v>
      </c>
      <c r="BE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295.38432</v>
      </c>
      <c r="BF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327.03264000000001</v>
      </c>
      <c r="BG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316.48320000000001</v>
      </c>
      <c r="BH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327.03264000000001</v>
      </c>
      <c r="BI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316.48320000000001</v>
      </c>
      <c r="BJ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327.03264000000001</v>
      </c>
      <c r="BK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327.03264000000001</v>
      </c>
      <c r="BL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316.48320000000001</v>
      </c>
      <c r="BM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327.03264000000001</v>
      </c>
      <c r="BN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316.48320000000001</v>
      </c>
      <c r="BO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327.03264000000001</v>
      </c>
      <c r="BP99">
        <f>SUM(Таб[[#This Row],[1]:[12]])</f>
        <v>3850.5455999999999</v>
      </c>
    </row>
    <row r="100" spans="2:68" ht="38.25">
      <c r="B100" t="s">
        <v>119</v>
      </c>
      <c r="C100" t="s">
        <v>195</v>
      </c>
      <c r="G100" s="1" t="s">
        <v>211</v>
      </c>
      <c r="H100" t="s">
        <v>172</v>
      </c>
      <c r="I100" t="s">
        <v>212</v>
      </c>
      <c r="J100" s="7">
        <v>0.65900000000000003</v>
      </c>
      <c r="K100" s="8"/>
      <c r="L100" s="8">
        <v>43111</v>
      </c>
      <c r="M100">
        <v>1</v>
      </c>
      <c r="N100" s="49" t="s">
        <v>67</v>
      </c>
      <c r="O100">
        <v>2018</v>
      </c>
      <c r="P100">
        <v>0.1239</v>
      </c>
      <c r="Q100" s="10"/>
      <c r="R100" s="11">
        <f>ROUND(Таб[[#This Row],[Зелений Тариф ЕЦ]]+Таб[[#This Row],[Зелений Тариф ЕЦ]]*Таб[[#This Row],[% надбавки]],4)</f>
        <v>0.1239</v>
      </c>
      <c r="S100" s="50"/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2.8000000000000001E-2</v>
      </c>
      <c r="AH100">
        <v>2.4E-2</v>
      </c>
      <c r="AI100">
        <v>8.7999999999999995E-2</v>
      </c>
      <c r="AJ100">
        <v>0.32600000000000001</v>
      </c>
      <c r="AK100">
        <v>0.308</v>
      </c>
      <c r="AL100">
        <v>0.34100000000000003</v>
      </c>
      <c r="AM100">
        <v>0.31900000000000001</v>
      </c>
      <c r="AN100">
        <v>0.34599999999999997</v>
      </c>
      <c r="AO100">
        <v>0.33300000000000002</v>
      </c>
      <c r="AP100">
        <v>0.29899999999999999</v>
      </c>
      <c r="AQ100">
        <v>0.27500000000000002</v>
      </c>
      <c r="AR100">
        <v>0.29399999999999998</v>
      </c>
      <c r="AS100">
        <v>0.27100000000000002</v>
      </c>
      <c r="AT100">
        <v>0.27100000000000002</v>
      </c>
      <c r="AU100">
        <v>0.26700000000000002</v>
      </c>
      <c r="AV100">
        <v>0.28799999999999998</v>
      </c>
      <c r="AW100">
        <v>0.28199999999999997</v>
      </c>
      <c r="AX100">
        <v>0.27700000000000002</v>
      </c>
      <c r="AY100">
        <v>0.28999999999999998</v>
      </c>
      <c r="BD1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215.73023999999998</v>
      </c>
      <c r="BE1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194.85312000000002</v>
      </c>
      <c r="BF1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215.73023999999998</v>
      </c>
      <c r="BG1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208.77120000000002</v>
      </c>
      <c r="BH1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215.73023999999998</v>
      </c>
      <c r="BI1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208.77120000000002</v>
      </c>
      <c r="BJ1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215.73023999999998</v>
      </c>
      <c r="BK1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215.73023999999998</v>
      </c>
      <c r="BL1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208.77120000000002</v>
      </c>
      <c r="BM1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215.73023999999998</v>
      </c>
      <c r="BN1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208.77120000000002</v>
      </c>
      <c r="BO1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215.73023999999998</v>
      </c>
      <c r="BP100">
        <f>SUM(Таб[[#This Row],[1]:[12]])</f>
        <v>2540.0495999999998</v>
      </c>
    </row>
    <row r="101" spans="2:68" ht="38.25">
      <c r="B101" t="s">
        <v>119</v>
      </c>
      <c r="C101" t="s">
        <v>195</v>
      </c>
      <c r="G101" s="1" t="s">
        <v>215</v>
      </c>
      <c r="H101" t="s">
        <v>69</v>
      </c>
      <c r="I101" t="s">
        <v>217</v>
      </c>
      <c r="J101" s="7">
        <v>2.1339999999999999</v>
      </c>
      <c r="K101" s="8"/>
      <c r="L101" s="8">
        <v>43508</v>
      </c>
      <c r="M101">
        <v>2</v>
      </c>
      <c r="N101" s="49" t="s">
        <v>67</v>
      </c>
      <c r="O101">
        <v>2019</v>
      </c>
      <c r="P101">
        <v>0.1239</v>
      </c>
      <c r="Q101" s="10"/>
      <c r="R101" s="11">
        <f>ROUND(Таб[[#This Row],[Зелений Тариф ЕЦ]]+Таб[[#This Row],[Зелений Тариф ЕЦ]]*Таб[[#This Row],[% надбавки]],4)</f>
        <v>0.1239</v>
      </c>
      <c r="S101" s="50"/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R101">
        <v>0</v>
      </c>
      <c r="AS101">
        <v>0</v>
      </c>
      <c r="AT101">
        <v>0.78200000000000003</v>
      </c>
      <c r="AU101">
        <v>0.91100000000000003</v>
      </c>
      <c r="AV101">
        <v>1.115</v>
      </c>
      <c r="AW101">
        <v>1.2909999999999999</v>
      </c>
      <c r="AX101">
        <v>1.41</v>
      </c>
      <c r="AY101">
        <v>1.468</v>
      </c>
      <c r="BD1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698.58623999999986</v>
      </c>
      <c r="BE1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630.98111999999992</v>
      </c>
      <c r="BF1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698.58623999999986</v>
      </c>
      <c r="BG1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676.05119999999988</v>
      </c>
      <c r="BH1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698.58623999999986</v>
      </c>
      <c r="BI1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676.05119999999988</v>
      </c>
      <c r="BJ1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698.58623999999986</v>
      </c>
      <c r="BK1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698.58623999999986</v>
      </c>
      <c r="BL1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676.05119999999988</v>
      </c>
      <c r="BM1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698.58623999999986</v>
      </c>
      <c r="BN1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676.05119999999988</v>
      </c>
      <c r="BO1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698.58623999999986</v>
      </c>
      <c r="BP101">
        <f>SUM(Таб[[#This Row],[1]:[12]])</f>
        <v>8225.2895999999982</v>
      </c>
    </row>
    <row r="102" spans="2:68" ht="38.25">
      <c r="B102" t="s">
        <v>119</v>
      </c>
      <c r="C102" t="s">
        <v>195</v>
      </c>
      <c r="G102" s="1" t="s">
        <v>215</v>
      </c>
      <c r="H102" t="s">
        <v>69</v>
      </c>
      <c r="J102" s="7">
        <v>1.0669999999999999</v>
      </c>
      <c r="K102" s="8">
        <v>43766</v>
      </c>
      <c r="L102" s="8">
        <v>43795</v>
      </c>
      <c r="M102">
        <v>11</v>
      </c>
      <c r="N102" s="49" t="s">
        <v>71</v>
      </c>
      <c r="O102">
        <v>2019</v>
      </c>
      <c r="P102">
        <v>0.1239</v>
      </c>
      <c r="Q102" s="10"/>
      <c r="R102" s="11">
        <f>ROUND(Таб[[#This Row],[Зелений Тариф ЕЦ]]+Таб[[#This Row],[Зелений Тариф ЕЦ]]*Таб[[#This Row],[% надбавки]],4)</f>
        <v>0.1239</v>
      </c>
      <c r="S102" s="50"/>
      <c r="T102"/>
      <c r="BD1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349.29311999999993</v>
      </c>
      <c r="BE1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315.49055999999996</v>
      </c>
      <c r="BF1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349.29311999999993</v>
      </c>
      <c r="BG1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338.02559999999994</v>
      </c>
      <c r="BH1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349.29311999999993</v>
      </c>
      <c r="BI1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338.02559999999994</v>
      </c>
      <c r="BJ1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349.29311999999993</v>
      </c>
      <c r="BK1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349.29311999999993</v>
      </c>
      <c r="BL1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338.02559999999994</v>
      </c>
      <c r="BM1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349.29311999999993</v>
      </c>
      <c r="BN1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338.02559999999994</v>
      </c>
      <c r="BO1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349.29311999999993</v>
      </c>
      <c r="BP102">
        <f>SUM(Таб[[#This Row],[1]:[12]])</f>
        <v>4112.6447999999991</v>
      </c>
    </row>
    <row r="103" spans="2:68" ht="76.5">
      <c r="B103" t="s">
        <v>119</v>
      </c>
      <c r="C103" t="s">
        <v>195</v>
      </c>
      <c r="G103" s="1" t="s">
        <v>220</v>
      </c>
      <c r="H103" t="s">
        <v>141</v>
      </c>
      <c r="I103" t="s">
        <v>221</v>
      </c>
      <c r="J103" s="7">
        <v>2.4060000000000001</v>
      </c>
      <c r="K103" s="8"/>
      <c r="L103" s="8">
        <v>43312</v>
      </c>
      <c r="M103">
        <v>7</v>
      </c>
      <c r="N103" s="49" t="s">
        <v>60</v>
      </c>
      <c r="O103">
        <v>2018</v>
      </c>
      <c r="P103">
        <v>0.1239</v>
      </c>
      <c r="Q103" s="10"/>
      <c r="R103" s="11">
        <f>ROUND(Таб[[#This Row],[Зелений Тариф ЕЦ]]+Таб[[#This Row],[Зелений Тариф ЕЦ]]*Таб[[#This Row],[% надбавки]],4)</f>
        <v>0.1239</v>
      </c>
      <c r="S103" s="50"/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0.61099999999999999</v>
      </c>
      <c r="AO103">
        <v>0.747</v>
      </c>
      <c r="AP103">
        <v>0.48499999999999999</v>
      </c>
      <c r="AQ103">
        <v>0.46100000000000002</v>
      </c>
      <c r="AR103">
        <v>0.47399999999999998</v>
      </c>
      <c r="AS103">
        <v>0.64100000000000001</v>
      </c>
      <c r="AT103">
        <v>0.95</v>
      </c>
      <c r="AU103">
        <v>1.083</v>
      </c>
      <c r="AV103">
        <v>1.135</v>
      </c>
      <c r="AW103">
        <v>0.6</v>
      </c>
      <c r="AX103">
        <v>0.77100000000000002</v>
      </c>
      <c r="AY103">
        <v>0.86699999999999999</v>
      </c>
      <c r="BD1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787.62816000000009</v>
      </c>
      <c r="BE1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711.40607999999997</v>
      </c>
      <c r="BF1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787.62816000000009</v>
      </c>
      <c r="BG1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762.22080000000005</v>
      </c>
      <c r="BH1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787.62816000000009</v>
      </c>
      <c r="BI1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762.22080000000005</v>
      </c>
      <c r="BJ1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787.62816000000009</v>
      </c>
      <c r="BK1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787.62816000000009</v>
      </c>
      <c r="BL1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762.22080000000005</v>
      </c>
      <c r="BM1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787.62816000000009</v>
      </c>
      <c r="BN1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762.22080000000005</v>
      </c>
      <c r="BO1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787.62816000000009</v>
      </c>
      <c r="BP103">
        <f>SUM(Таб[[#This Row],[1]:[12]])</f>
        <v>9273.6864000000023</v>
      </c>
    </row>
    <row r="104" spans="2:68" ht="76.5">
      <c r="B104" t="s">
        <v>119</v>
      </c>
      <c r="C104" t="s">
        <v>195</v>
      </c>
      <c r="G104" s="1" t="s">
        <v>220</v>
      </c>
      <c r="H104" t="s">
        <v>141</v>
      </c>
      <c r="I104" t="s">
        <v>223</v>
      </c>
      <c r="J104" s="7">
        <v>1.2030000000000001</v>
      </c>
      <c r="K104" s="8"/>
      <c r="L104" s="8">
        <v>43511</v>
      </c>
      <c r="M104">
        <v>2</v>
      </c>
      <c r="N104" s="49" t="s">
        <v>67</v>
      </c>
      <c r="O104">
        <v>2019</v>
      </c>
      <c r="P104">
        <v>0.1239</v>
      </c>
      <c r="Q104" s="10"/>
      <c r="R104" s="11">
        <f>ROUND(Таб[[#This Row],[Зелений Тариф ЕЦ]]+Таб[[#This Row],[Зелений Тариф ЕЦ]]*Таб[[#This Row],[% надбавки]],4)</f>
        <v>0.1239</v>
      </c>
      <c r="S104" s="50"/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R104">
        <v>0</v>
      </c>
      <c r="AS104">
        <v>0.51</v>
      </c>
      <c r="AT104">
        <v>0.59799999999999998</v>
      </c>
      <c r="AU104">
        <v>0.623</v>
      </c>
      <c r="AV104">
        <v>0.63500000000000001</v>
      </c>
      <c r="AW104">
        <v>0.51500000000000001</v>
      </c>
      <c r="AX104">
        <v>0.46600000000000003</v>
      </c>
      <c r="AY104">
        <v>0.48399999999999999</v>
      </c>
      <c r="BD1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393.81408000000005</v>
      </c>
      <c r="BE1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355.70303999999999</v>
      </c>
      <c r="BF1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393.81408000000005</v>
      </c>
      <c r="BG1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381.11040000000003</v>
      </c>
      <c r="BH1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393.81408000000005</v>
      </c>
      <c r="BI1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381.11040000000003</v>
      </c>
      <c r="BJ1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393.81408000000005</v>
      </c>
      <c r="BK1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393.81408000000005</v>
      </c>
      <c r="BL1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381.11040000000003</v>
      </c>
      <c r="BM1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393.81408000000005</v>
      </c>
      <c r="BN1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381.11040000000003</v>
      </c>
      <c r="BO1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393.81408000000005</v>
      </c>
      <c r="BP104">
        <f>SUM(Таб[[#This Row],[1]:[12]])</f>
        <v>4636.8432000000012</v>
      </c>
    </row>
    <row r="105" spans="2:68" ht="76.5">
      <c r="B105" t="s">
        <v>119</v>
      </c>
      <c r="C105" t="s">
        <v>195</v>
      </c>
      <c r="G105" s="1" t="s">
        <v>220</v>
      </c>
      <c r="H105" t="s">
        <v>107</v>
      </c>
      <c r="I105" t="s">
        <v>225</v>
      </c>
      <c r="J105" s="7">
        <v>2.4060000000000001</v>
      </c>
      <c r="K105" s="8"/>
      <c r="L105" s="8">
        <v>43641</v>
      </c>
      <c r="M105">
        <v>6</v>
      </c>
      <c r="N105" s="49" t="s">
        <v>57</v>
      </c>
      <c r="O105">
        <v>2019</v>
      </c>
      <c r="P105">
        <v>0.1239</v>
      </c>
      <c r="Q105" s="10"/>
      <c r="R105" s="11">
        <f>ROUND(Таб[[#This Row],[Зелений Тариф ЕЦ]]+Таб[[#This Row],[Зелений Тариф ЕЦ]]*Таб[[#This Row],[% надбавки]],4)</f>
        <v>0.1239</v>
      </c>
      <c r="S105" s="50"/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BD1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787.62816000000009</v>
      </c>
      <c r="BE1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711.40607999999997</v>
      </c>
      <c r="BF1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787.62816000000009</v>
      </c>
      <c r="BG1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762.22080000000005</v>
      </c>
      <c r="BH1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787.62816000000009</v>
      </c>
      <c r="BI1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762.22080000000005</v>
      </c>
      <c r="BJ1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787.62816000000009</v>
      </c>
      <c r="BK1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787.62816000000009</v>
      </c>
      <c r="BL1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762.22080000000005</v>
      </c>
      <c r="BM1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787.62816000000009</v>
      </c>
      <c r="BN1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762.22080000000005</v>
      </c>
      <c r="BO1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787.62816000000009</v>
      </c>
      <c r="BP105">
        <f>SUM(Таб[[#This Row],[1]:[12]])</f>
        <v>9273.6864000000023</v>
      </c>
    </row>
    <row r="106" spans="2:68" ht="38.25">
      <c r="B106" t="s">
        <v>119</v>
      </c>
      <c r="C106" t="s">
        <v>195</v>
      </c>
      <c r="G106" s="1" t="s">
        <v>228</v>
      </c>
      <c r="H106" t="s">
        <v>65</v>
      </c>
      <c r="I106" t="s">
        <v>229</v>
      </c>
      <c r="J106" s="7">
        <v>1.1659999999999999</v>
      </c>
      <c r="K106" s="8"/>
      <c r="L106" s="8">
        <v>41858</v>
      </c>
      <c r="M106">
        <v>8</v>
      </c>
      <c r="N106" s="49" t="s">
        <v>60</v>
      </c>
      <c r="O106">
        <v>2014</v>
      </c>
      <c r="P106">
        <v>0.1239</v>
      </c>
      <c r="Q106" s="10"/>
      <c r="R106" s="11">
        <f>ROUND(Таб[[#This Row],[Зелений Тариф ЕЦ]]+Таб[[#This Row],[Зелений Тариф ЕЦ]]*Таб[[#This Row],[% надбавки]],4)</f>
        <v>0.1239</v>
      </c>
      <c r="S106" s="50"/>
      <c r="T106">
        <v>0.70899999999999996</v>
      </c>
      <c r="U106">
        <v>0.63700000000000012</v>
      </c>
      <c r="V106">
        <v>0.60099999999999998</v>
      </c>
      <c r="W106">
        <v>0.69300000000000006</v>
      </c>
      <c r="X106">
        <v>0.65300000000000002</v>
      </c>
      <c r="Y106">
        <v>0.54099999999999993</v>
      </c>
      <c r="Z106">
        <v>0.40900000000000025</v>
      </c>
      <c r="AA106">
        <v>0.36699999999999999</v>
      </c>
      <c r="AB106">
        <v>0.46999999999999975</v>
      </c>
      <c r="AC106">
        <v>0.58399999999999963</v>
      </c>
      <c r="AD106">
        <v>0.45999999999999996</v>
      </c>
      <c r="AE106">
        <v>0.35400000000000009</v>
      </c>
      <c r="AF106">
        <v>0.59899999999999998</v>
      </c>
      <c r="AG106">
        <v>0.65200000000000002</v>
      </c>
      <c r="AH106">
        <v>0.69499999999999995</v>
      </c>
      <c r="AI106">
        <v>0.59799999999999998</v>
      </c>
      <c r="AJ106">
        <v>0.53</v>
      </c>
      <c r="AK106">
        <v>0.34799999999999998</v>
      </c>
      <c r="AL106">
        <v>0.56399999999999995</v>
      </c>
      <c r="AM106">
        <v>0.23</v>
      </c>
      <c r="AN106">
        <v>0.504</v>
      </c>
      <c r="AO106">
        <v>0.66</v>
      </c>
      <c r="AP106">
        <v>0.60499999999999998</v>
      </c>
      <c r="AQ106">
        <v>0.65700000000000003</v>
      </c>
      <c r="AR106">
        <v>0.49199999999999999</v>
      </c>
      <c r="AS106">
        <v>0.313</v>
      </c>
      <c r="AT106">
        <v>0.16600000000000001</v>
      </c>
      <c r="AU106">
        <v>0.41299999999999998</v>
      </c>
      <c r="AV106">
        <v>0.13300000000000001</v>
      </c>
      <c r="AW106">
        <v>0</v>
      </c>
      <c r="AX106">
        <v>0.52900000000000003</v>
      </c>
      <c r="AY106">
        <v>0.51</v>
      </c>
      <c r="BD1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381.70175999999992</v>
      </c>
      <c r="BE1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344.76287999999994</v>
      </c>
      <c r="BF1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381.70175999999992</v>
      </c>
      <c r="BG1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369.38879999999995</v>
      </c>
      <c r="BH1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381.70175999999992</v>
      </c>
      <c r="BI1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369.38879999999995</v>
      </c>
      <c r="BJ1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381.70175999999992</v>
      </c>
      <c r="BK1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381.70175999999992</v>
      </c>
      <c r="BL1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369.38879999999995</v>
      </c>
      <c r="BM1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381.70175999999992</v>
      </c>
      <c r="BN1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369.38879999999995</v>
      </c>
      <c r="BO1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381.70175999999992</v>
      </c>
      <c r="BP106">
        <f>SUM(Таб[[#This Row],[1]:[12]])</f>
        <v>4494.2303999999986</v>
      </c>
    </row>
    <row r="107" spans="2:68" ht="25.5">
      <c r="B107" t="s">
        <v>119</v>
      </c>
      <c r="C107" t="s">
        <v>195</v>
      </c>
      <c r="G107" s="1" t="s">
        <v>232</v>
      </c>
      <c r="H107" t="s">
        <v>233</v>
      </c>
      <c r="I107" t="s">
        <v>234</v>
      </c>
      <c r="J107" s="7">
        <v>1.0640000000000001</v>
      </c>
      <c r="K107" s="8"/>
      <c r="L107" s="8">
        <v>43637</v>
      </c>
      <c r="M107">
        <v>6</v>
      </c>
      <c r="N107" s="49" t="s">
        <v>57</v>
      </c>
      <c r="O107">
        <v>2019</v>
      </c>
      <c r="P107">
        <v>0.1239</v>
      </c>
      <c r="Q107" s="10"/>
      <c r="R107" s="11">
        <f>ROUND(Таб[[#This Row],[Зелений Тариф ЕЦ]]+Таб[[#This Row],[Зелений Тариф ЕЦ]]*Таб[[#This Row],[% надбавки]],4)</f>
        <v>0.1239</v>
      </c>
      <c r="S107" s="50"/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0.17599999999999999</v>
      </c>
      <c r="AY107">
        <v>0.29599999999999999</v>
      </c>
      <c r="BD1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348.31104000000005</v>
      </c>
      <c r="BE1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314.60352</v>
      </c>
      <c r="BF1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348.31104000000005</v>
      </c>
      <c r="BG1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337.0752</v>
      </c>
      <c r="BH1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348.31104000000005</v>
      </c>
      <c r="BI1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337.0752</v>
      </c>
      <c r="BJ1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348.31104000000005</v>
      </c>
      <c r="BK1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348.31104000000005</v>
      </c>
      <c r="BL1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337.0752</v>
      </c>
      <c r="BM1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348.31104000000005</v>
      </c>
      <c r="BN1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337.0752</v>
      </c>
      <c r="BO1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348.31104000000005</v>
      </c>
      <c r="BP107">
        <f>SUM(Таб[[#This Row],[1]:[12]])</f>
        <v>4101.0815999999995</v>
      </c>
    </row>
    <row r="108" spans="2:68" ht="38.25">
      <c r="B108" t="s">
        <v>119</v>
      </c>
      <c r="C108" t="s">
        <v>195</v>
      </c>
      <c r="G108" s="1" t="s">
        <v>238</v>
      </c>
      <c r="H108" t="s">
        <v>56</v>
      </c>
      <c r="I108" t="s">
        <v>240</v>
      </c>
      <c r="J108" s="7">
        <v>1.4870000000000001</v>
      </c>
      <c r="K108" s="8"/>
      <c r="L108" s="8">
        <v>43111</v>
      </c>
      <c r="M108">
        <v>1</v>
      </c>
      <c r="N108" s="49" t="s">
        <v>67</v>
      </c>
      <c r="O108">
        <v>2018</v>
      </c>
      <c r="P108">
        <v>0.1239</v>
      </c>
      <c r="Q108" s="10"/>
      <c r="R108" s="11">
        <f>ROUND(Таб[[#This Row],[Зелений Тариф ЕЦ]]+Таб[[#This Row],[Зелений Тариф ЕЦ]]*Таб[[#This Row],[% надбавки]],4)</f>
        <v>0.1239</v>
      </c>
      <c r="S108" s="50"/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0.621</v>
      </c>
      <c r="AG108">
        <v>0.58499999999999996</v>
      </c>
      <c r="AH108">
        <v>0.59499999999999997</v>
      </c>
      <c r="AI108">
        <v>0.46400000000000002</v>
      </c>
      <c r="AJ108">
        <v>0.623</v>
      </c>
      <c r="AK108">
        <v>0.49399999999999999</v>
      </c>
      <c r="AL108">
        <v>0.54800000000000004</v>
      </c>
      <c r="AM108">
        <v>0.53200000000000003</v>
      </c>
      <c r="AN108">
        <v>0.55900000000000005</v>
      </c>
      <c r="AO108">
        <v>0.69</v>
      </c>
      <c r="AP108">
        <v>0.53</v>
      </c>
      <c r="AQ108">
        <v>0.46200000000000002</v>
      </c>
      <c r="AR108">
        <v>0.40500000000000003</v>
      </c>
      <c r="AS108">
        <v>0.42199999999999999</v>
      </c>
      <c r="AT108">
        <v>0.50600000000000001</v>
      </c>
      <c r="AU108">
        <v>0.47099999999999997</v>
      </c>
      <c r="AV108">
        <v>0.41799999999999998</v>
      </c>
      <c r="AW108">
        <v>0.44800000000000001</v>
      </c>
      <c r="AX108">
        <v>0.32300000000000001</v>
      </c>
      <c r="AY108">
        <v>0.3</v>
      </c>
      <c r="BD1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486.78432000000009</v>
      </c>
      <c r="BE1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439.6761600000001</v>
      </c>
      <c r="BF1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486.78432000000009</v>
      </c>
      <c r="BG1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471.08160000000009</v>
      </c>
      <c r="BH1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486.78432000000009</v>
      </c>
      <c r="BI1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471.08160000000009</v>
      </c>
      <c r="BJ1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486.78432000000009</v>
      </c>
      <c r="BK1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486.78432000000009</v>
      </c>
      <c r="BL1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471.08160000000009</v>
      </c>
      <c r="BM1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486.78432000000009</v>
      </c>
      <c r="BN1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471.08160000000009</v>
      </c>
      <c r="BO1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486.78432000000009</v>
      </c>
      <c r="BP108">
        <f>SUM(Таб[[#This Row],[1]:[12]])</f>
        <v>5731.4928000000009</v>
      </c>
    </row>
    <row r="109" spans="2:68" ht="38.25">
      <c r="B109" t="s">
        <v>119</v>
      </c>
      <c r="C109" t="s">
        <v>195</v>
      </c>
      <c r="G109" s="1" t="s">
        <v>244</v>
      </c>
      <c r="H109" t="s">
        <v>107</v>
      </c>
      <c r="I109" t="s">
        <v>245</v>
      </c>
      <c r="J109" s="7">
        <v>0.33</v>
      </c>
      <c r="K109" s="8"/>
      <c r="L109" s="8">
        <v>43277</v>
      </c>
      <c r="M109">
        <v>6</v>
      </c>
      <c r="N109" s="49" t="s">
        <v>57</v>
      </c>
      <c r="O109">
        <v>2018</v>
      </c>
      <c r="P109">
        <v>0.1239</v>
      </c>
      <c r="Q109" s="10"/>
      <c r="R109" s="11">
        <f>ROUND(Таб[[#This Row],[Зелений Тариф ЕЦ]]+Таб[[#This Row],[Зелений Тариф ЕЦ]]*Таб[[#This Row],[% надбавки]],4)</f>
        <v>0.1239</v>
      </c>
      <c r="S109" s="50"/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3.6999999999999998E-2</v>
      </c>
      <c r="AS109">
        <v>4.1000000000000002E-2</v>
      </c>
      <c r="AT109">
        <v>5.5E-2</v>
      </c>
      <c r="AU109">
        <v>3.5999999999999997E-2</v>
      </c>
      <c r="AV109">
        <v>2.4E-2</v>
      </c>
      <c r="AW109">
        <v>2.1999999999999999E-2</v>
      </c>
      <c r="AX109">
        <v>1.2E-2</v>
      </c>
      <c r="AY109">
        <v>5.0000000000000001E-3</v>
      </c>
      <c r="BD1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108.02879999999999</v>
      </c>
      <c r="BE1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97.574399999999997</v>
      </c>
      <c r="BF1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108.02879999999999</v>
      </c>
      <c r="BG1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104.544</v>
      </c>
      <c r="BH1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108.02879999999999</v>
      </c>
      <c r="BI1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104.544</v>
      </c>
      <c r="BJ1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108.02879999999999</v>
      </c>
      <c r="BK1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108.02879999999999</v>
      </c>
      <c r="BL1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104.544</v>
      </c>
      <c r="BM1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108.02879999999999</v>
      </c>
      <c r="BN1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104.544</v>
      </c>
      <c r="BO1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108.02879999999999</v>
      </c>
      <c r="BP109">
        <f>SUM(Таб[[#This Row],[1]:[12]])</f>
        <v>1271.952</v>
      </c>
    </row>
    <row r="110" spans="2:68" ht="25.5">
      <c r="B110" t="s">
        <v>119</v>
      </c>
      <c r="C110" t="s">
        <v>195</v>
      </c>
      <c r="G110" s="1" t="s">
        <v>139</v>
      </c>
      <c r="H110" t="s">
        <v>65</v>
      </c>
      <c r="I110" t="s">
        <v>247</v>
      </c>
      <c r="J110" s="7">
        <v>0.66</v>
      </c>
      <c r="K110" s="8"/>
      <c r="L110" s="8">
        <v>42853</v>
      </c>
      <c r="M110">
        <v>4</v>
      </c>
      <c r="N110" s="49" t="s">
        <v>57</v>
      </c>
      <c r="O110">
        <v>2017</v>
      </c>
      <c r="P110">
        <v>0.1239</v>
      </c>
      <c r="Q110" s="10"/>
      <c r="R110" s="11">
        <f>ROUND(Таб[[#This Row],[Зелений Тариф ЕЦ]]+Таб[[#This Row],[Зелений Тариф ЕЦ]]*Таб[[#This Row],[% надбавки]],4)</f>
        <v>0.1239</v>
      </c>
      <c r="S110" s="50"/>
      <c r="T110">
        <v>0</v>
      </c>
      <c r="U110">
        <v>0</v>
      </c>
      <c r="V110">
        <v>0</v>
      </c>
      <c r="W110">
        <v>0</v>
      </c>
      <c r="X110">
        <v>0.152</v>
      </c>
      <c r="Y110">
        <v>0.22600000000000001</v>
      </c>
      <c r="Z110">
        <v>0.28800000000000003</v>
      </c>
      <c r="AA110">
        <v>0.97299999999999998</v>
      </c>
      <c r="AB110">
        <v>1.401</v>
      </c>
      <c r="AC110">
        <v>1.4279999999999999</v>
      </c>
      <c r="AD110">
        <v>1.5460000000000003</v>
      </c>
      <c r="AE110">
        <v>1.5640000000000001</v>
      </c>
      <c r="AF110">
        <v>1.5289999999999999</v>
      </c>
      <c r="AG110">
        <v>1.3440000000000001</v>
      </c>
      <c r="AH110">
        <v>1.552</v>
      </c>
      <c r="AI110">
        <v>1.5409999999999999</v>
      </c>
      <c r="AJ110">
        <v>1.605</v>
      </c>
      <c r="AK110">
        <v>1.569</v>
      </c>
      <c r="AL110">
        <v>1.895</v>
      </c>
      <c r="AM110">
        <v>2.0529999999999999</v>
      </c>
      <c r="AN110">
        <v>1.964</v>
      </c>
      <c r="AO110">
        <v>1.9390000000000001</v>
      </c>
      <c r="AP110">
        <v>1.651</v>
      </c>
      <c r="AQ110">
        <v>1.754</v>
      </c>
      <c r="AR110">
        <v>2.0019999999999998</v>
      </c>
      <c r="AS110">
        <v>1.8140000000000001</v>
      </c>
      <c r="AT110">
        <v>2.0510000000000002</v>
      </c>
      <c r="AU110">
        <v>1.9970000000000001</v>
      </c>
      <c r="AV110">
        <v>2.1320000000000001</v>
      </c>
      <c r="AW110">
        <v>2.226</v>
      </c>
      <c r="AX110">
        <v>2.2949999999999999</v>
      </c>
      <c r="AY110">
        <v>2.302</v>
      </c>
      <c r="BD1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216.05759999999998</v>
      </c>
      <c r="BE1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195.14879999999999</v>
      </c>
      <c r="BF1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216.05759999999998</v>
      </c>
      <c r="BG1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209.08799999999999</v>
      </c>
      <c r="BH1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216.05759999999998</v>
      </c>
      <c r="BI1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209.08799999999999</v>
      </c>
      <c r="BJ1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216.05759999999998</v>
      </c>
      <c r="BK1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216.05759999999998</v>
      </c>
      <c r="BL1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209.08799999999999</v>
      </c>
      <c r="BM1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216.05759999999998</v>
      </c>
      <c r="BN1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209.08799999999999</v>
      </c>
      <c r="BO1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216.05759999999998</v>
      </c>
      <c r="BP110">
        <f>SUM(Таб[[#This Row],[1]:[12]])</f>
        <v>2543.904</v>
      </c>
    </row>
    <row r="111" spans="2:68" ht="25.5">
      <c r="B111" t="s">
        <v>119</v>
      </c>
      <c r="C111" t="s">
        <v>195</v>
      </c>
      <c r="G111" s="1" t="s">
        <v>139</v>
      </c>
      <c r="H111" t="s">
        <v>185</v>
      </c>
      <c r="I111" t="s">
        <v>249</v>
      </c>
      <c r="J111" s="7">
        <v>1.0629999999999999</v>
      </c>
      <c r="K111" s="8"/>
      <c r="L111" s="8">
        <v>42922</v>
      </c>
      <c r="M111">
        <v>7</v>
      </c>
      <c r="N111" s="49" t="s">
        <v>60</v>
      </c>
      <c r="O111">
        <v>2017</v>
      </c>
      <c r="P111">
        <v>0.1239</v>
      </c>
      <c r="Q111" s="10"/>
      <c r="R111" s="11">
        <f>ROUND(Таб[[#This Row],[Зелений Тариф ЕЦ]]+Таб[[#This Row],[Зелений Тариф ЕЦ]]*Таб[[#This Row],[% надбавки]],4)</f>
        <v>0.1239</v>
      </c>
      <c r="S111" s="50"/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BD1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347.98367999999999</v>
      </c>
      <c r="BE1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314.30784</v>
      </c>
      <c r="BF1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347.98367999999999</v>
      </c>
      <c r="BG1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336.75839999999999</v>
      </c>
      <c r="BH1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347.98367999999999</v>
      </c>
      <c r="BI1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336.75839999999999</v>
      </c>
      <c r="BJ1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347.98367999999999</v>
      </c>
      <c r="BK1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347.98367999999999</v>
      </c>
      <c r="BL1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336.75839999999999</v>
      </c>
      <c r="BM1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347.98367999999999</v>
      </c>
      <c r="BN1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336.75839999999999</v>
      </c>
      <c r="BO1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347.98367999999999</v>
      </c>
      <c r="BP111">
        <f>SUM(Таб[[#This Row],[1]:[12]])</f>
        <v>4097.2272000000003</v>
      </c>
    </row>
    <row r="112" spans="2:68" ht="25.5">
      <c r="B112" t="s">
        <v>119</v>
      </c>
      <c r="C112" t="s">
        <v>195</v>
      </c>
      <c r="G112" s="1" t="s">
        <v>139</v>
      </c>
      <c r="H112" t="s">
        <v>185</v>
      </c>
      <c r="I112" t="s">
        <v>253</v>
      </c>
      <c r="J112" s="7">
        <v>0.84499999999999997</v>
      </c>
      <c r="K112" s="8"/>
      <c r="L112" s="8">
        <v>43020</v>
      </c>
      <c r="M112">
        <v>10</v>
      </c>
      <c r="N112" s="49" t="s">
        <v>71</v>
      </c>
      <c r="O112">
        <v>2017</v>
      </c>
      <c r="P112">
        <v>0.1239</v>
      </c>
      <c r="Q112" s="10"/>
      <c r="R112" s="11">
        <f>ROUND(Таб[[#This Row],[Зелений Тариф ЕЦ]]+Таб[[#This Row],[Зелений Тариф ЕЦ]]*Таб[[#This Row],[% надбавки]],4)</f>
        <v>0.1239</v>
      </c>
      <c r="S112" s="50"/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BD1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276.61919999999998</v>
      </c>
      <c r="BE1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249.84959999999998</v>
      </c>
      <c r="BF1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276.61919999999998</v>
      </c>
      <c r="BG1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267.69599999999997</v>
      </c>
      <c r="BH1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276.61919999999998</v>
      </c>
      <c r="BI1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267.69599999999997</v>
      </c>
      <c r="BJ1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276.61919999999998</v>
      </c>
      <c r="BK1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276.61919999999998</v>
      </c>
      <c r="BL1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267.69599999999997</v>
      </c>
      <c r="BM1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276.61919999999998</v>
      </c>
      <c r="BN1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267.69599999999997</v>
      </c>
      <c r="BO1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276.61919999999998</v>
      </c>
      <c r="BP112">
        <f>SUM(Таб[[#This Row],[1]:[12]])</f>
        <v>3256.9679999999998</v>
      </c>
    </row>
    <row r="113" spans="2:68" ht="25.5">
      <c r="B113" t="s">
        <v>119</v>
      </c>
      <c r="C113" t="s">
        <v>195</v>
      </c>
      <c r="G113" s="1" t="s">
        <v>139</v>
      </c>
      <c r="H113" t="s">
        <v>255</v>
      </c>
      <c r="I113" t="s">
        <v>256</v>
      </c>
      <c r="J113" s="7">
        <v>0.33</v>
      </c>
      <c r="K113" s="8"/>
      <c r="L113" s="8">
        <v>43111</v>
      </c>
      <c r="M113">
        <v>1</v>
      </c>
      <c r="N113" s="49" t="s">
        <v>67</v>
      </c>
      <c r="O113">
        <v>2018</v>
      </c>
      <c r="P113">
        <v>0.1239</v>
      </c>
      <c r="Q113" s="10"/>
      <c r="R113" s="11">
        <f>ROUND(Таб[[#This Row],[Зелений Тариф ЕЦ]]+Таб[[#This Row],[Зелений Тариф ЕЦ]]*Таб[[#This Row],[% надбавки]],4)</f>
        <v>0.1239</v>
      </c>
      <c r="S113" s="50"/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BD1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108.02879999999999</v>
      </c>
      <c r="BE1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97.574399999999997</v>
      </c>
      <c r="BF1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108.02879999999999</v>
      </c>
      <c r="BG1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104.544</v>
      </c>
      <c r="BH1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108.02879999999999</v>
      </c>
      <c r="BI1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104.544</v>
      </c>
      <c r="BJ1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108.02879999999999</v>
      </c>
      <c r="BK1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108.02879999999999</v>
      </c>
      <c r="BL1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104.544</v>
      </c>
      <c r="BM1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108.02879999999999</v>
      </c>
      <c r="BN1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104.544</v>
      </c>
      <c r="BO1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108.02879999999999</v>
      </c>
      <c r="BP113">
        <f>SUM(Таб[[#This Row],[1]:[12]])</f>
        <v>1271.952</v>
      </c>
    </row>
    <row r="114" spans="2:68" ht="25.5">
      <c r="B114" t="s">
        <v>119</v>
      </c>
      <c r="C114" t="s">
        <v>195</v>
      </c>
      <c r="G114" s="1" t="s">
        <v>139</v>
      </c>
      <c r="H114" t="s">
        <v>107</v>
      </c>
      <c r="I114" t="s">
        <v>259</v>
      </c>
      <c r="J114" s="7">
        <v>0.84499999999999997</v>
      </c>
      <c r="K114" s="8"/>
      <c r="L114" s="8">
        <v>43567</v>
      </c>
      <c r="M114">
        <v>4</v>
      </c>
      <c r="N114" s="49" t="s">
        <v>57</v>
      </c>
      <c r="O114">
        <v>2019</v>
      </c>
      <c r="P114">
        <v>0.1239</v>
      </c>
      <c r="Q114" s="10"/>
      <c r="R114" s="11">
        <f>ROUND(Таб[[#This Row],[Зелений Тариф ЕЦ]]+Таб[[#This Row],[Зелений Тариф ЕЦ]]*Таб[[#This Row],[% надбавки]],4)</f>
        <v>0.1239</v>
      </c>
      <c r="S114" s="50"/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BD1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276.61919999999998</v>
      </c>
      <c r="BE1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249.84959999999998</v>
      </c>
      <c r="BF1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276.61919999999998</v>
      </c>
      <c r="BG1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267.69599999999997</v>
      </c>
      <c r="BH1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276.61919999999998</v>
      </c>
      <c r="BI1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267.69599999999997</v>
      </c>
      <c r="BJ1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276.61919999999998</v>
      </c>
      <c r="BK1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276.61919999999998</v>
      </c>
      <c r="BL1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267.69599999999997</v>
      </c>
      <c r="BM1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276.61919999999998</v>
      </c>
      <c r="BN1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267.69599999999997</v>
      </c>
      <c r="BO1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276.61919999999998</v>
      </c>
      <c r="BP114">
        <f>SUM(Таб[[#This Row],[1]:[12]])</f>
        <v>3256.9679999999998</v>
      </c>
    </row>
    <row r="115" spans="2:68" ht="63.75">
      <c r="B115" t="s">
        <v>119</v>
      </c>
      <c r="C115" t="s">
        <v>195</v>
      </c>
      <c r="G115" s="1" t="s">
        <v>262</v>
      </c>
      <c r="H115" t="s">
        <v>263</v>
      </c>
      <c r="I115" t="s">
        <v>264</v>
      </c>
      <c r="J115" s="7">
        <v>0.84499999999999997</v>
      </c>
      <c r="K115" s="8"/>
      <c r="L115" s="8">
        <v>43111</v>
      </c>
      <c r="M115">
        <v>1</v>
      </c>
      <c r="N115" s="49" t="s">
        <v>67</v>
      </c>
      <c r="O115">
        <v>2018</v>
      </c>
      <c r="P115">
        <v>0.1239</v>
      </c>
      <c r="Q115" s="10"/>
      <c r="R115" s="11">
        <f>ROUND(Таб[[#This Row],[Зелений Тариф ЕЦ]]+Таб[[#This Row],[Зелений Тариф ЕЦ]]*Таб[[#This Row],[% надбавки]],4)</f>
        <v>0.1239</v>
      </c>
      <c r="S115" s="50"/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0.29499999999999998</v>
      </c>
      <c r="AH115">
        <v>0.33100000000000002</v>
      </c>
      <c r="AI115">
        <v>0.35199999999999998</v>
      </c>
      <c r="AJ115">
        <v>0.36499999999999999</v>
      </c>
      <c r="AK115">
        <v>0.34399999999999997</v>
      </c>
      <c r="AL115">
        <v>0.34899999999999998</v>
      </c>
      <c r="AM115">
        <v>0.34300000000000003</v>
      </c>
      <c r="AN115">
        <v>0.32</v>
      </c>
      <c r="AO115">
        <v>0.32600000000000001</v>
      </c>
      <c r="AP115">
        <v>0.32300000000000001</v>
      </c>
      <c r="AQ115">
        <v>0.33</v>
      </c>
      <c r="AR115">
        <v>0.69099999999999995</v>
      </c>
      <c r="AS115">
        <v>0.60299999999999998</v>
      </c>
      <c r="AT115">
        <v>0.66600000000000004</v>
      </c>
      <c r="AU115">
        <v>0.67900000000000005</v>
      </c>
      <c r="AV115">
        <v>0.70799999999999996</v>
      </c>
      <c r="AW115">
        <v>0.69</v>
      </c>
      <c r="AX115">
        <v>0.74199999999999999</v>
      </c>
      <c r="AY115">
        <v>0.73699999999999999</v>
      </c>
      <c r="BD1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276.61919999999998</v>
      </c>
      <c r="BE1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249.84959999999998</v>
      </c>
      <c r="BF1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276.61919999999998</v>
      </c>
      <c r="BG1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267.69599999999997</v>
      </c>
      <c r="BH1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276.61919999999998</v>
      </c>
      <c r="BI1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267.69599999999997</v>
      </c>
      <c r="BJ1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276.61919999999998</v>
      </c>
      <c r="BK1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276.61919999999998</v>
      </c>
      <c r="BL1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267.69599999999997</v>
      </c>
      <c r="BM1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276.61919999999998</v>
      </c>
      <c r="BN1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267.69599999999997</v>
      </c>
      <c r="BO1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276.61919999999998</v>
      </c>
      <c r="BP115">
        <f>SUM(Таб[[#This Row],[1]:[12]])</f>
        <v>3256.9679999999998</v>
      </c>
    </row>
    <row r="116" spans="2:68" ht="63.75">
      <c r="B116" t="s">
        <v>119</v>
      </c>
      <c r="C116" t="s">
        <v>195</v>
      </c>
      <c r="G116" s="1" t="s">
        <v>262</v>
      </c>
      <c r="H116" t="s">
        <v>263</v>
      </c>
      <c r="I116" t="s">
        <v>268</v>
      </c>
      <c r="J116" s="7">
        <v>1.0029999999999999</v>
      </c>
      <c r="K116" s="8"/>
      <c r="L116" s="8">
        <v>43455</v>
      </c>
      <c r="M116">
        <v>12</v>
      </c>
      <c r="N116" s="49" t="s">
        <v>71</v>
      </c>
      <c r="O116">
        <v>2018</v>
      </c>
      <c r="P116">
        <v>0.1239</v>
      </c>
      <c r="Q116" s="10"/>
      <c r="R116" s="11">
        <f>ROUND(Таб[[#This Row],[Зелений Тариф ЕЦ]]+Таб[[#This Row],[Зелений Тариф ЕЦ]]*Таб[[#This Row],[% надбавки]],4)</f>
        <v>0.1239</v>
      </c>
      <c r="S116" s="50"/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BD1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328.34207999999995</v>
      </c>
      <c r="BE1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296.56703999999991</v>
      </c>
      <c r="BF1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328.34207999999995</v>
      </c>
      <c r="BG1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317.75039999999996</v>
      </c>
      <c r="BH1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328.34207999999995</v>
      </c>
      <c r="BI1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317.75039999999996</v>
      </c>
      <c r="BJ1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328.34207999999995</v>
      </c>
      <c r="BK1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328.34207999999995</v>
      </c>
      <c r="BL1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317.75039999999996</v>
      </c>
      <c r="BM1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328.34207999999995</v>
      </c>
      <c r="BN1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317.75039999999996</v>
      </c>
      <c r="BO1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328.34207999999995</v>
      </c>
      <c r="BP116">
        <f>SUM(Таб[[#This Row],[1]:[12]])</f>
        <v>3865.9631999999988</v>
      </c>
    </row>
    <row r="117" spans="2:68" ht="51">
      <c r="B117" t="s">
        <v>119</v>
      </c>
      <c r="C117" t="s">
        <v>195</v>
      </c>
      <c r="G117" s="1" t="s">
        <v>271</v>
      </c>
      <c r="H117" t="s">
        <v>73</v>
      </c>
      <c r="I117" t="s">
        <v>272</v>
      </c>
      <c r="J117" s="7">
        <v>0.625</v>
      </c>
      <c r="K117" s="8"/>
      <c r="L117" s="8">
        <v>43543</v>
      </c>
      <c r="M117">
        <v>3</v>
      </c>
      <c r="N117" s="49" t="s">
        <v>67</v>
      </c>
      <c r="O117">
        <v>2019</v>
      </c>
      <c r="P117">
        <v>0.1239</v>
      </c>
      <c r="Q117" s="10"/>
      <c r="R117" s="11">
        <f>ROUND(Таб[[#This Row],[Зелений Тариф ЕЦ]]+Таб[[#This Row],[Зелений Тариф ЕЦ]]*Таб[[#This Row],[% надбавки]],4)</f>
        <v>0.1239</v>
      </c>
      <c r="S117" s="50"/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0.27</v>
      </c>
      <c r="AX117">
        <v>0.36599999999999999</v>
      </c>
      <c r="AY117">
        <v>0.41799999999999998</v>
      </c>
      <c r="BD1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204.60000000000002</v>
      </c>
      <c r="BE1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184.8</v>
      </c>
      <c r="BF1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204.60000000000002</v>
      </c>
      <c r="BG1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198</v>
      </c>
      <c r="BH1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204.60000000000002</v>
      </c>
      <c r="BI1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198</v>
      </c>
      <c r="BJ1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204.60000000000002</v>
      </c>
      <c r="BK1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204.60000000000002</v>
      </c>
      <c r="BL1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198</v>
      </c>
      <c r="BM1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204.60000000000002</v>
      </c>
      <c r="BN1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198</v>
      </c>
      <c r="BO1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204.60000000000002</v>
      </c>
      <c r="BP117">
        <f>SUM(Таб[[#This Row],[1]:[12]])</f>
        <v>2408.9999999999995</v>
      </c>
    </row>
    <row r="118" spans="2:68" ht="51">
      <c r="B118" t="s">
        <v>119</v>
      </c>
      <c r="C118" t="s">
        <v>195</v>
      </c>
      <c r="G118" s="1" t="s">
        <v>271</v>
      </c>
      <c r="H118" t="s">
        <v>122</v>
      </c>
      <c r="I118" t="s">
        <v>274</v>
      </c>
      <c r="J118" s="7">
        <v>1.1539999999999999</v>
      </c>
      <c r="K118" s="8"/>
      <c r="L118" s="8">
        <v>43602</v>
      </c>
      <c r="M118">
        <v>5</v>
      </c>
      <c r="N118" s="49" t="s">
        <v>57</v>
      </c>
      <c r="O118">
        <v>2019</v>
      </c>
      <c r="P118">
        <v>0.1239</v>
      </c>
      <c r="Q118" s="10"/>
      <c r="R118" s="11">
        <f>ROUND(Таб[[#This Row],[Зелений Тариф ЕЦ]]+Таб[[#This Row],[Зелений Тариф ЕЦ]]*Таб[[#This Row],[% надбавки]],4)</f>
        <v>0.1239</v>
      </c>
      <c r="S118" s="50"/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BD1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377.77343999999999</v>
      </c>
      <c r="BE1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341.21471999999994</v>
      </c>
      <c r="BF1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377.77343999999999</v>
      </c>
      <c r="BG1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365.5872</v>
      </c>
      <c r="BH1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377.77343999999999</v>
      </c>
      <c r="BI1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365.5872</v>
      </c>
      <c r="BJ1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377.77343999999999</v>
      </c>
      <c r="BK1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377.77343999999999</v>
      </c>
      <c r="BL1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365.5872</v>
      </c>
      <c r="BM1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377.77343999999999</v>
      </c>
      <c r="BN1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365.5872</v>
      </c>
      <c r="BO1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377.77343999999999</v>
      </c>
      <c r="BP118">
        <f>SUM(Таб[[#This Row],[1]:[12]])</f>
        <v>4447.9775999999993</v>
      </c>
    </row>
    <row r="119" spans="2:68" ht="51">
      <c r="B119" t="s">
        <v>119</v>
      </c>
      <c r="C119" t="s">
        <v>195</v>
      </c>
      <c r="G119" s="1" t="s">
        <v>271</v>
      </c>
      <c r="H119" t="s">
        <v>122</v>
      </c>
      <c r="I119" t="s">
        <v>274</v>
      </c>
      <c r="J119" s="7">
        <v>1.0629999999999999</v>
      </c>
      <c r="K119" s="8"/>
      <c r="L119" s="8">
        <v>43602</v>
      </c>
      <c r="M119">
        <v>5</v>
      </c>
      <c r="N119" s="49" t="s">
        <v>57</v>
      </c>
      <c r="O119">
        <v>2019</v>
      </c>
      <c r="P119">
        <v>0.1239</v>
      </c>
      <c r="Q119" s="10"/>
      <c r="R119" s="11">
        <f>ROUND(Таб[[#This Row],[Зелений Тариф ЕЦ]]+Таб[[#This Row],[Зелений Тариф ЕЦ]]*Таб[[#This Row],[% надбавки]],4)</f>
        <v>0.1239</v>
      </c>
      <c r="S119" s="50"/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BD1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347.98367999999999</v>
      </c>
      <c r="BE1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314.30784</v>
      </c>
      <c r="BF1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347.98367999999999</v>
      </c>
      <c r="BG1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336.75839999999999</v>
      </c>
      <c r="BH1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347.98367999999999</v>
      </c>
      <c r="BI1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336.75839999999999</v>
      </c>
      <c r="BJ1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347.98367999999999</v>
      </c>
      <c r="BK1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347.98367999999999</v>
      </c>
      <c r="BL1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336.75839999999999</v>
      </c>
      <c r="BM1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347.98367999999999</v>
      </c>
      <c r="BN1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336.75839999999999</v>
      </c>
      <c r="BO1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347.98367999999999</v>
      </c>
      <c r="BP119">
        <f>SUM(Таб[[#This Row],[1]:[12]])</f>
        <v>4097.2272000000003</v>
      </c>
    </row>
    <row r="120" spans="2:68" ht="51">
      <c r="B120" t="s">
        <v>119</v>
      </c>
      <c r="C120" t="s">
        <v>195</v>
      </c>
      <c r="G120" s="1" t="s">
        <v>278</v>
      </c>
      <c r="H120" t="s">
        <v>141</v>
      </c>
      <c r="I120" t="s">
        <v>279</v>
      </c>
      <c r="J120" s="7">
        <v>1.131</v>
      </c>
      <c r="K120" s="8"/>
      <c r="L120" s="8">
        <v>43111</v>
      </c>
      <c r="M120">
        <v>1</v>
      </c>
      <c r="N120" s="49" t="s">
        <v>67</v>
      </c>
      <c r="O120">
        <v>2018</v>
      </c>
      <c r="P120">
        <v>0.1239</v>
      </c>
      <c r="Q120" s="10"/>
      <c r="R120" s="11">
        <f>ROUND(Таб[[#This Row],[Зелений Тариф ЕЦ]]+Таб[[#This Row],[Зелений Тариф ЕЦ]]*Таб[[#This Row],[% надбавки]],4)</f>
        <v>0.1239</v>
      </c>
      <c r="S120" s="50"/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9.9000000000000005E-2</v>
      </c>
      <c r="AG120">
        <v>0.23100000000000001</v>
      </c>
      <c r="AH120">
        <v>0.20300000000000001</v>
      </c>
      <c r="AI120">
        <v>0.252</v>
      </c>
      <c r="AJ120">
        <v>0.30099999999999999</v>
      </c>
      <c r="AK120">
        <v>0.36299999999999999</v>
      </c>
      <c r="AL120">
        <v>0.438</v>
      </c>
      <c r="AM120">
        <v>0.56599999999999995</v>
      </c>
      <c r="AN120">
        <v>0.53800000000000003</v>
      </c>
      <c r="AO120">
        <v>0.55400000000000005</v>
      </c>
      <c r="AP120">
        <v>0.52700000000000002</v>
      </c>
      <c r="AQ120">
        <v>0.53800000000000003</v>
      </c>
      <c r="AR120">
        <v>0.51</v>
      </c>
      <c r="AS120">
        <v>0.45200000000000001</v>
      </c>
      <c r="AT120">
        <v>0.45600000000000002</v>
      </c>
      <c r="AU120">
        <v>0.443</v>
      </c>
      <c r="AV120">
        <v>0.42899999999999999</v>
      </c>
      <c r="AW120">
        <v>0.41</v>
      </c>
      <c r="AX120">
        <v>0.47399999999999998</v>
      </c>
      <c r="AY120">
        <v>0.437</v>
      </c>
      <c r="BD1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370.24416000000002</v>
      </c>
      <c r="BE1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334.41408000000001</v>
      </c>
      <c r="BF1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370.24416000000002</v>
      </c>
      <c r="BG1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358.30080000000004</v>
      </c>
      <c r="BH1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370.24416000000002</v>
      </c>
      <c r="BI1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358.30080000000004</v>
      </c>
      <c r="BJ1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370.24416000000002</v>
      </c>
      <c r="BK1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370.24416000000002</v>
      </c>
      <c r="BL1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358.30080000000004</v>
      </c>
      <c r="BM1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370.24416000000002</v>
      </c>
      <c r="BN1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358.30080000000004</v>
      </c>
      <c r="BO1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370.24416000000002</v>
      </c>
      <c r="BP120">
        <f>SUM(Таб[[#This Row],[1]:[12]])</f>
        <v>4359.3264000000008</v>
      </c>
    </row>
    <row r="121" spans="2:68" ht="38.25">
      <c r="B121" t="s">
        <v>119</v>
      </c>
      <c r="C121" t="s">
        <v>195</v>
      </c>
      <c r="G121" s="1" t="s">
        <v>282</v>
      </c>
      <c r="H121" t="s">
        <v>73</v>
      </c>
      <c r="I121" t="s">
        <v>284</v>
      </c>
      <c r="J121" s="7">
        <v>3.12</v>
      </c>
      <c r="K121" s="8"/>
      <c r="L121" s="8">
        <v>42681</v>
      </c>
      <c r="M121">
        <v>11</v>
      </c>
      <c r="N121" s="49" t="s">
        <v>71</v>
      </c>
      <c r="O121">
        <v>2016</v>
      </c>
      <c r="P121">
        <v>0.1239</v>
      </c>
      <c r="Q121" s="10"/>
      <c r="R121" s="11">
        <f>ROUND(Таб[[#This Row],[Зелений Тариф ЕЦ]]+Таб[[#This Row],[Зелений Тариф ЕЦ]]*Таб[[#This Row],[% надбавки]],4)</f>
        <v>0.1239</v>
      </c>
      <c r="S121" s="50"/>
      <c r="T121">
        <v>0</v>
      </c>
      <c r="U121">
        <v>0</v>
      </c>
      <c r="V121">
        <v>0</v>
      </c>
      <c r="W121">
        <v>0</v>
      </c>
      <c r="X121">
        <v>0.187</v>
      </c>
      <c r="Y121">
        <v>0.46200000000000002</v>
      </c>
      <c r="Z121">
        <v>0.57400000000000007</v>
      </c>
      <c r="AA121">
        <v>1.0039999999999998</v>
      </c>
      <c r="AB121">
        <v>0.40700000000000003</v>
      </c>
      <c r="AC121">
        <v>0.71200000000000019</v>
      </c>
      <c r="AD121">
        <v>0.32099999999999973</v>
      </c>
      <c r="AE121">
        <v>0.61300000000000043</v>
      </c>
      <c r="AF121">
        <v>1.0860000000000001</v>
      </c>
      <c r="AG121">
        <v>0.94299999999999995</v>
      </c>
      <c r="AH121">
        <v>0.77</v>
      </c>
      <c r="AI121">
        <v>0.56799999999999995</v>
      </c>
      <c r="AJ121">
        <v>1.2010000000000001</v>
      </c>
      <c r="AK121">
        <v>1.135</v>
      </c>
      <c r="AL121">
        <v>1.026</v>
      </c>
      <c r="AM121">
        <v>0.90700000000000003</v>
      </c>
      <c r="AN121">
        <v>0.20399999999999999</v>
      </c>
      <c r="AO121">
        <v>1.1200000000000001</v>
      </c>
      <c r="AP121">
        <v>1.093</v>
      </c>
      <c r="AQ121">
        <v>1.081</v>
      </c>
      <c r="AR121">
        <v>0.44400000000000001</v>
      </c>
      <c r="AS121">
        <v>0.94599999999999995</v>
      </c>
      <c r="AT121">
        <v>1.2310000000000001</v>
      </c>
      <c r="AU121">
        <v>0.54300000000000004</v>
      </c>
      <c r="AV121">
        <v>1.1830000000000001</v>
      </c>
      <c r="AW121">
        <v>1.204</v>
      </c>
      <c r="AX121">
        <v>1.0289999999999999</v>
      </c>
      <c r="AY121">
        <v>1.331</v>
      </c>
      <c r="BD1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1021.3632</v>
      </c>
      <c r="BE1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922.52160000000003</v>
      </c>
      <c r="BF1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1021.3632</v>
      </c>
      <c r="BG1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988.41599999999994</v>
      </c>
      <c r="BH1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1021.3632</v>
      </c>
      <c r="BI1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988.41599999999994</v>
      </c>
      <c r="BJ1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1021.3632</v>
      </c>
      <c r="BK1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1021.3632</v>
      </c>
      <c r="BL1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988.41599999999994</v>
      </c>
      <c r="BM1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1021.3632</v>
      </c>
      <c r="BN1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988.41599999999994</v>
      </c>
      <c r="BO1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1021.3632</v>
      </c>
      <c r="BP121">
        <f>SUM(Таб[[#This Row],[1]:[12]])</f>
        <v>12025.727999999997</v>
      </c>
    </row>
    <row r="122" spans="2:68" ht="25.5">
      <c r="B122" t="s">
        <v>119</v>
      </c>
      <c r="C122" t="s">
        <v>195</v>
      </c>
      <c r="G122" s="1" t="s">
        <v>287</v>
      </c>
      <c r="H122" t="s">
        <v>233</v>
      </c>
      <c r="I122" t="s">
        <v>289</v>
      </c>
      <c r="J122" s="7">
        <v>0.6</v>
      </c>
      <c r="K122" s="8"/>
      <c r="L122" s="8">
        <v>41940</v>
      </c>
      <c r="M122">
        <v>10</v>
      </c>
      <c r="N122" s="49" t="s">
        <v>71</v>
      </c>
      <c r="O122">
        <v>2014</v>
      </c>
      <c r="P122">
        <v>0.1239</v>
      </c>
      <c r="Q122" s="10"/>
      <c r="R122" s="11">
        <f>ROUND(Таб[[#This Row],[Зелений Тариф ЕЦ]]+Таб[[#This Row],[Зелений Тариф ЕЦ]]*Таб[[#This Row],[% надбавки]],4)</f>
        <v>0.1239</v>
      </c>
      <c r="S122" s="50"/>
      <c r="T122">
        <v>9.8000000000000004E-2</v>
      </c>
      <c r="U122">
        <v>0.11099999999999999</v>
      </c>
      <c r="V122">
        <v>0.11800000000000002</v>
      </c>
      <c r="W122">
        <v>9.9999999999999978E-2</v>
      </c>
      <c r="X122">
        <v>9.2000000000000026E-2</v>
      </c>
      <c r="Y122">
        <v>8.9999999999999969E-2</v>
      </c>
      <c r="Z122">
        <v>8.3999999999999964E-2</v>
      </c>
      <c r="AA122">
        <v>6.2000000000000055E-2</v>
      </c>
      <c r="AB122">
        <v>3.7000000000000033E-2</v>
      </c>
      <c r="AC122">
        <v>5.1999999999999935E-2</v>
      </c>
      <c r="AD122">
        <v>7.6000000000000068E-2</v>
      </c>
      <c r="AE122">
        <v>8.1999999999999962E-2</v>
      </c>
      <c r="AF122">
        <v>5.8999999999999997E-2</v>
      </c>
      <c r="AG122">
        <v>6.8000000000000005E-2</v>
      </c>
      <c r="AH122">
        <v>7.3999999999999996E-2</v>
      </c>
      <c r="AI122">
        <v>7.3999999999999996E-2</v>
      </c>
      <c r="AJ122">
        <v>7.2999999999999995E-2</v>
      </c>
      <c r="AK122">
        <v>6.6000000000000003E-2</v>
      </c>
      <c r="AL122">
        <v>7.3999999999999996E-2</v>
      </c>
      <c r="AM122">
        <v>5.7000000000000002E-2</v>
      </c>
      <c r="AN122">
        <v>5.5E-2</v>
      </c>
      <c r="AO122">
        <v>5.8999999999999997E-2</v>
      </c>
      <c r="AP122">
        <v>6.5000000000000002E-2</v>
      </c>
      <c r="AQ122">
        <v>5.8000000000000003E-2</v>
      </c>
      <c r="AR122">
        <v>4.1000000000000002E-2</v>
      </c>
      <c r="AS122">
        <v>4.8000000000000001E-2</v>
      </c>
      <c r="AT122">
        <v>5.6000000000000001E-2</v>
      </c>
      <c r="AU122">
        <v>5.5E-2</v>
      </c>
      <c r="AV122">
        <v>5.8999999999999997E-2</v>
      </c>
      <c r="AW122">
        <v>5.6000000000000001E-2</v>
      </c>
      <c r="AX122">
        <v>7.0000000000000007E-2</v>
      </c>
      <c r="AY122">
        <v>6.9000000000000006E-2</v>
      </c>
      <c r="BD1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196.41600000000003</v>
      </c>
      <c r="BE1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177.40800000000002</v>
      </c>
      <c r="BF1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196.41600000000003</v>
      </c>
      <c r="BG1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190.07999999999998</v>
      </c>
      <c r="BH1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196.41600000000003</v>
      </c>
      <c r="BI1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190.07999999999998</v>
      </c>
      <c r="BJ1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196.41600000000003</v>
      </c>
      <c r="BK1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196.41600000000003</v>
      </c>
      <c r="BL1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190.07999999999998</v>
      </c>
      <c r="BM1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196.41600000000003</v>
      </c>
      <c r="BN1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190.07999999999998</v>
      </c>
      <c r="BO1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196.41600000000003</v>
      </c>
      <c r="BP122">
        <f>SUM(Таб[[#This Row],[1]:[12]])</f>
        <v>2312.6400000000003</v>
      </c>
    </row>
    <row r="123" spans="2:68">
      <c r="B123" t="s">
        <v>119</v>
      </c>
      <c r="C123" t="s">
        <v>195</v>
      </c>
      <c r="G123" s="1" t="s">
        <v>292</v>
      </c>
      <c r="H123" t="s">
        <v>107</v>
      </c>
      <c r="I123" t="s">
        <v>293</v>
      </c>
      <c r="J123" s="7">
        <v>1.0629999999999999</v>
      </c>
      <c r="K123" s="8"/>
      <c r="L123" s="8">
        <v>41389</v>
      </c>
      <c r="M123">
        <v>4</v>
      </c>
      <c r="N123" s="49" t="s">
        <v>57</v>
      </c>
      <c r="O123">
        <v>2013</v>
      </c>
      <c r="P123">
        <v>0.1239</v>
      </c>
      <c r="Q123" s="10"/>
      <c r="R123" s="11">
        <f>ROUND(Таб[[#This Row],[Зелений Тариф ЕЦ]]+Таб[[#This Row],[Зелений Тариф ЕЦ]]*Таб[[#This Row],[% надбавки]],4)</f>
        <v>0.1239</v>
      </c>
      <c r="S123" s="50"/>
      <c r="T123">
        <v>2.5550000000000002</v>
      </c>
      <c r="U123">
        <v>2.3050000000000002</v>
      </c>
      <c r="V123">
        <v>2.4329999999999998</v>
      </c>
      <c r="W123">
        <v>2.3180000000000005</v>
      </c>
      <c r="X123">
        <v>2.6909999999999989</v>
      </c>
      <c r="Y123">
        <v>2.6280000000000001</v>
      </c>
      <c r="Z123">
        <v>2.2149999999999999</v>
      </c>
      <c r="AA123">
        <v>2.2630000000000017</v>
      </c>
      <c r="AB123">
        <v>2.1589999999999989</v>
      </c>
      <c r="AC123">
        <v>2.2059999999999995</v>
      </c>
      <c r="AD123">
        <v>2.2540000000000013</v>
      </c>
      <c r="AE123">
        <v>2.2889999999999979</v>
      </c>
      <c r="AF123">
        <v>2.2349999999999999</v>
      </c>
      <c r="AG123">
        <v>2.0590000000000002</v>
      </c>
      <c r="AH123">
        <v>2.2549999999999999</v>
      </c>
      <c r="AI123">
        <v>2.0760000000000001</v>
      </c>
      <c r="AJ123">
        <v>2.0569999999999999</v>
      </c>
      <c r="AK123">
        <v>1.8839999999999999</v>
      </c>
      <c r="AL123">
        <v>2.0550000000000002</v>
      </c>
      <c r="AM123">
        <v>2.0350000000000001</v>
      </c>
      <c r="AN123">
        <v>1.849</v>
      </c>
      <c r="AO123">
        <v>2.02</v>
      </c>
      <c r="AP123">
        <v>1.9510000000000001</v>
      </c>
      <c r="AQ123">
        <v>1.889</v>
      </c>
      <c r="AR123">
        <v>1.9550000000000001</v>
      </c>
      <c r="AS123">
        <v>1.764</v>
      </c>
      <c r="AT123">
        <v>1.992</v>
      </c>
      <c r="AU123">
        <v>1.9510000000000001</v>
      </c>
      <c r="AV123">
        <v>2.0419999999999998</v>
      </c>
      <c r="AW123">
        <v>1.9039999999999999</v>
      </c>
      <c r="AX123">
        <v>1.903</v>
      </c>
      <c r="AY123">
        <v>1.792</v>
      </c>
      <c r="BD1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347.98367999999999</v>
      </c>
      <c r="BE1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314.30784</v>
      </c>
      <c r="BF1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347.98367999999999</v>
      </c>
      <c r="BG1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336.75839999999999</v>
      </c>
      <c r="BH1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347.98367999999999</v>
      </c>
      <c r="BI1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336.75839999999999</v>
      </c>
      <c r="BJ1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347.98367999999999</v>
      </c>
      <c r="BK1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347.98367999999999</v>
      </c>
      <c r="BL1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336.75839999999999</v>
      </c>
      <c r="BM1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347.98367999999999</v>
      </c>
      <c r="BN1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336.75839999999999</v>
      </c>
      <c r="BO1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347.98367999999999</v>
      </c>
      <c r="BP123">
        <f>SUM(Таб[[#This Row],[1]:[12]])</f>
        <v>4097.2272000000003</v>
      </c>
    </row>
    <row r="124" spans="2:68" ht="25.5">
      <c r="B124" t="s">
        <v>119</v>
      </c>
      <c r="C124" t="s">
        <v>195</v>
      </c>
      <c r="G124" s="1" t="s">
        <v>296</v>
      </c>
      <c r="H124" t="s">
        <v>107</v>
      </c>
      <c r="I124" t="s">
        <v>298</v>
      </c>
      <c r="J124" s="7">
        <v>2.1259999999999999</v>
      </c>
      <c r="K124" s="8"/>
      <c r="L124" s="8">
        <v>41564</v>
      </c>
      <c r="M124">
        <v>10</v>
      </c>
      <c r="N124" s="49" t="s">
        <v>71</v>
      </c>
      <c r="O124">
        <v>2013</v>
      </c>
      <c r="P124">
        <v>0.1239</v>
      </c>
      <c r="Q124" s="10"/>
      <c r="R124" s="11">
        <f>ROUND(Таб[[#This Row],[Зелений Тариф ЕЦ]]+Таб[[#This Row],[Зелений Тариф ЕЦ]]*Таб[[#This Row],[% надбавки]],4)</f>
        <v>0.1239</v>
      </c>
      <c r="S124" s="50"/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BD1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695.96735999999999</v>
      </c>
      <c r="BE1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628.61568</v>
      </c>
      <c r="BF1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695.96735999999999</v>
      </c>
      <c r="BG1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673.51679999999999</v>
      </c>
      <c r="BH1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695.96735999999999</v>
      </c>
      <c r="BI1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673.51679999999999</v>
      </c>
      <c r="BJ1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695.96735999999999</v>
      </c>
      <c r="BK1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695.96735999999999</v>
      </c>
      <c r="BL1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673.51679999999999</v>
      </c>
      <c r="BM1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695.96735999999999</v>
      </c>
      <c r="BN1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673.51679999999999</v>
      </c>
      <c r="BO1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695.96735999999999</v>
      </c>
      <c r="BP124">
        <f>SUM(Таб[[#This Row],[1]:[12]])</f>
        <v>8194.4544000000005</v>
      </c>
    </row>
    <row r="125" spans="2:68">
      <c r="B125" t="s">
        <v>119</v>
      </c>
      <c r="C125" t="s">
        <v>195</v>
      </c>
      <c r="G125" s="1" t="s">
        <v>292</v>
      </c>
      <c r="H125" t="s">
        <v>107</v>
      </c>
      <c r="I125" t="s">
        <v>301</v>
      </c>
      <c r="J125" s="7">
        <v>0.88500000000000001</v>
      </c>
      <c r="K125" s="8"/>
      <c r="L125" s="8">
        <v>41746</v>
      </c>
      <c r="M125">
        <v>4</v>
      </c>
      <c r="N125" s="49" t="s">
        <v>57</v>
      </c>
      <c r="O125">
        <v>2014</v>
      </c>
      <c r="P125">
        <v>0.1239</v>
      </c>
      <c r="Q125" s="10"/>
      <c r="R125" s="11">
        <f>ROUND(Таб[[#This Row],[Зелений Тариф ЕЦ]]+Таб[[#This Row],[Зелений Тариф ЕЦ]]*Таб[[#This Row],[% надбавки]],4)</f>
        <v>0.1239</v>
      </c>
      <c r="S125" s="50"/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BD1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289.71360000000004</v>
      </c>
      <c r="BE1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261.67680000000001</v>
      </c>
      <c r="BF1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289.71360000000004</v>
      </c>
      <c r="BG1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280.36799999999999</v>
      </c>
      <c r="BH1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289.71360000000004</v>
      </c>
      <c r="BI1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280.36799999999999</v>
      </c>
      <c r="BJ1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289.71360000000004</v>
      </c>
      <c r="BK1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289.71360000000004</v>
      </c>
      <c r="BL1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280.36799999999999</v>
      </c>
      <c r="BM1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289.71360000000004</v>
      </c>
      <c r="BN1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280.36799999999999</v>
      </c>
      <c r="BO1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289.71360000000004</v>
      </c>
      <c r="BP125">
        <f>SUM(Таб[[#This Row],[1]:[12]])</f>
        <v>3411.1440000000002</v>
      </c>
    </row>
    <row r="126" spans="2:68">
      <c r="B126" t="s">
        <v>119</v>
      </c>
      <c r="C126" t="s">
        <v>195</v>
      </c>
      <c r="G126" s="1" t="s">
        <v>292</v>
      </c>
      <c r="H126" t="s">
        <v>176</v>
      </c>
      <c r="I126" t="s">
        <v>304</v>
      </c>
      <c r="J126" s="7">
        <v>1.0629999999999999</v>
      </c>
      <c r="K126" s="8"/>
      <c r="L126" s="8">
        <v>41982</v>
      </c>
      <c r="M126">
        <v>12</v>
      </c>
      <c r="N126" s="49" t="s">
        <v>71</v>
      </c>
      <c r="O126">
        <v>2014</v>
      </c>
      <c r="P126">
        <v>0.1239</v>
      </c>
      <c r="Q126" s="10"/>
      <c r="R126" s="11">
        <f>ROUND(Таб[[#This Row],[Зелений Тариф ЕЦ]]+Таб[[#This Row],[Зелений Тариф ЕЦ]]*Таб[[#This Row],[% надбавки]],4)</f>
        <v>0.1239</v>
      </c>
      <c r="S126" s="50"/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BD1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347.98367999999999</v>
      </c>
      <c r="BE1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314.30784</v>
      </c>
      <c r="BF1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347.98367999999999</v>
      </c>
      <c r="BG1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336.75839999999999</v>
      </c>
      <c r="BH1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347.98367999999999</v>
      </c>
      <c r="BI1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336.75839999999999</v>
      </c>
      <c r="BJ1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347.98367999999999</v>
      </c>
      <c r="BK1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347.98367999999999</v>
      </c>
      <c r="BL1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336.75839999999999</v>
      </c>
      <c r="BM1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347.98367999999999</v>
      </c>
      <c r="BN1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336.75839999999999</v>
      </c>
      <c r="BO1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347.98367999999999</v>
      </c>
      <c r="BP126">
        <f>SUM(Таб[[#This Row],[1]:[12]])</f>
        <v>4097.2272000000003</v>
      </c>
    </row>
    <row r="127" spans="2:68">
      <c r="B127" t="s">
        <v>119</v>
      </c>
      <c r="C127" t="s">
        <v>195</v>
      </c>
      <c r="G127" s="1" t="s">
        <v>292</v>
      </c>
      <c r="H127" t="s">
        <v>82</v>
      </c>
      <c r="I127" t="s">
        <v>307</v>
      </c>
      <c r="J127" s="7">
        <v>1.0629999999999999</v>
      </c>
      <c r="K127" s="8"/>
      <c r="L127" s="8">
        <v>41982</v>
      </c>
      <c r="M127">
        <v>12</v>
      </c>
      <c r="N127" s="49" t="s">
        <v>71</v>
      </c>
      <c r="O127">
        <v>2014</v>
      </c>
      <c r="P127">
        <v>0.1239</v>
      </c>
      <c r="Q127" s="10"/>
      <c r="R127" s="11">
        <f>ROUND(Таб[[#This Row],[Зелений Тариф ЕЦ]]+Таб[[#This Row],[Зелений Тариф ЕЦ]]*Таб[[#This Row],[% надбавки]],4)</f>
        <v>0.1239</v>
      </c>
      <c r="S127" s="50"/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BD1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347.98367999999999</v>
      </c>
      <c r="BE1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314.30784</v>
      </c>
      <c r="BF1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347.98367999999999</v>
      </c>
      <c r="BG1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336.75839999999999</v>
      </c>
      <c r="BH1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347.98367999999999</v>
      </c>
      <c r="BI1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336.75839999999999</v>
      </c>
      <c r="BJ1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347.98367999999999</v>
      </c>
      <c r="BK1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347.98367999999999</v>
      </c>
      <c r="BL1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336.75839999999999</v>
      </c>
      <c r="BM1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347.98367999999999</v>
      </c>
      <c r="BN1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336.75839999999999</v>
      </c>
      <c r="BO1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347.98367999999999</v>
      </c>
      <c r="BP127">
        <f>SUM(Таб[[#This Row],[1]:[12]])</f>
        <v>4097.2272000000003</v>
      </c>
    </row>
    <row r="128" spans="2:68">
      <c r="B128" t="s">
        <v>119</v>
      </c>
      <c r="C128" t="s">
        <v>195</v>
      </c>
      <c r="G128" s="1" t="s">
        <v>292</v>
      </c>
      <c r="H128" t="s">
        <v>163</v>
      </c>
      <c r="I128" t="s">
        <v>310</v>
      </c>
      <c r="J128" s="7">
        <v>0.6</v>
      </c>
      <c r="K128" s="8"/>
      <c r="L128" s="8">
        <v>42850</v>
      </c>
      <c r="M128">
        <v>4</v>
      </c>
      <c r="N128" s="49" t="s">
        <v>57</v>
      </c>
      <c r="O128">
        <v>2017</v>
      </c>
      <c r="P128">
        <v>0.1239</v>
      </c>
      <c r="Q128" s="10"/>
      <c r="R128" s="11">
        <f>ROUND(Таб[[#This Row],[Зелений Тариф ЕЦ]]+Таб[[#This Row],[Зелений Тариф ЕЦ]]*Таб[[#This Row],[% надбавки]],4)</f>
        <v>0.1239</v>
      </c>
      <c r="S128" s="50"/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BD1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196.41600000000003</v>
      </c>
      <c r="BE1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177.40800000000002</v>
      </c>
      <c r="BF1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196.41600000000003</v>
      </c>
      <c r="BG1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190.07999999999998</v>
      </c>
      <c r="BH1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196.41600000000003</v>
      </c>
      <c r="BI1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190.07999999999998</v>
      </c>
      <c r="BJ1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196.41600000000003</v>
      </c>
      <c r="BK1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196.41600000000003</v>
      </c>
      <c r="BL1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190.07999999999998</v>
      </c>
      <c r="BM1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196.41600000000003</v>
      </c>
      <c r="BN1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190.07999999999998</v>
      </c>
      <c r="BO1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196.41600000000003</v>
      </c>
      <c r="BP128">
        <f>SUM(Таб[[#This Row],[1]:[12]])</f>
        <v>2312.6400000000003</v>
      </c>
    </row>
    <row r="129" spans="2:68">
      <c r="B129" t="s">
        <v>119</v>
      </c>
      <c r="C129" t="s">
        <v>195</v>
      </c>
      <c r="G129" s="1" t="s">
        <v>292</v>
      </c>
      <c r="H129" t="s">
        <v>136</v>
      </c>
      <c r="I129" t="s">
        <v>313</v>
      </c>
      <c r="J129" s="7">
        <v>0.63500000000000001</v>
      </c>
      <c r="K129" s="8"/>
      <c r="L129" s="8">
        <v>43643</v>
      </c>
      <c r="M129">
        <v>6</v>
      </c>
      <c r="N129" s="49" t="s">
        <v>57</v>
      </c>
      <c r="O129">
        <v>2019</v>
      </c>
      <c r="P129">
        <v>0.1239</v>
      </c>
      <c r="Q129" s="10"/>
      <c r="R129" s="11">
        <f>ROUND(Таб[[#This Row],[Зелений Тариф ЕЦ]]+Таб[[#This Row],[Зелений Тариф ЕЦ]]*Таб[[#This Row],[% надбавки]],4)</f>
        <v>0.1239</v>
      </c>
      <c r="S129" s="50"/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BD1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207.87359999999995</v>
      </c>
      <c r="BE1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187.7568</v>
      </c>
      <c r="BF1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207.87359999999995</v>
      </c>
      <c r="BG1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201.16800000000001</v>
      </c>
      <c r="BH1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207.87359999999995</v>
      </c>
      <c r="BI1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201.16800000000001</v>
      </c>
      <c r="BJ1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207.87359999999995</v>
      </c>
      <c r="BK1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207.87359999999995</v>
      </c>
      <c r="BL1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201.16800000000001</v>
      </c>
      <c r="BM1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207.87359999999995</v>
      </c>
      <c r="BN1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201.16800000000001</v>
      </c>
      <c r="BO1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207.87359999999995</v>
      </c>
      <c r="BP129">
        <f>SUM(Таб[[#This Row],[1]:[12]])</f>
        <v>2447.5439999999999</v>
      </c>
    </row>
    <row r="130" spans="2:68" ht="25.5">
      <c r="B130" t="s">
        <v>119</v>
      </c>
      <c r="C130" t="s">
        <v>195</v>
      </c>
      <c r="G130" s="1" t="s">
        <v>315</v>
      </c>
      <c r="H130" t="s">
        <v>122</v>
      </c>
      <c r="I130" t="s">
        <v>316</v>
      </c>
      <c r="J130" s="7">
        <v>3.6</v>
      </c>
      <c r="K130" s="8"/>
      <c r="L130" s="8">
        <v>42810</v>
      </c>
      <c r="M130">
        <v>3</v>
      </c>
      <c r="N130" s="49" t="s">
        <v>67</v>
      </c>
      <c r="O130">
        <v>2017</v>
      </c>
      <c r="P130">
        <v>0.1239</v>
      </c>
      <c r="Q130" s="10"/>
      <c r="R130" s="11">
        <f>ROUND(Таб[[#This Row],[Зелений Тариф ЕЦ]]+Таб[[#This Row],[Зелений Тариф ЕЦ]]*Таб[[#This Row],[% надбавки]],4)</f>
        <v>0.1239</v>
      </c>
      <c r="S130" s="50"/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BD1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1178.4960000000001</v>
      </c>
      <c r="BE1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1064.4480000000001</v>
      </c>
      <c r="BF1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1178.4960000000001</v>
      </c>
      <c r="BG1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1140.48</v>
      </c>
      <c r="BH1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1178.4960000000001</v>
      </c>
      <c r="BI1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1140.48</v>
      </c>
      <c r="BJ1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1178.4960000000001</v>
      </c>
      <c r="BK1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1178.4960000000001</v>
      </c>
      <c r="BL1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1140.48</v>
      </c>
      <c r="BM1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1178.4960000000001</v>
      </c>
      <c r="BN1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1140.48</v>
      </c>
      <c r="BO1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1178.4960000000001</v>
      </c>
      <c r="BP130">
        <f>SUM(Таб[[#This Row],[1]:[12]])</f>
        <v>13875.84</v>
      </c>
    </row>
    <row r="131" spans="2:68" ht="51">
      <c r="B131" t="s">
        <v>119</v>
      </c>
      <c r="C131" t="s">
        <v>195</v>
      </c>
      <c r="G131" s="1" t="s">
        <v>320</v>
      </c>
      <c r="H131" t="s">
        <v>321</v>
      </c>
      <c r="I131" t="s">
        <v>322</v>
      </c>
      <c r="J131" s="7">
        <v>0.65700000000000003</v>
      </c>
      <c r="K131" s="8"/>
      <c r="L131" s="8">
        <v>43020</v>
      </c>
      <c r="M131">
        <v>10</v>
      </c>
      <c r="N131" s="49" t="s">
        <v>71</v>
      </c>
      <c r="O131">
        <v>2017</v>
      </c>
      <c r="P131">
        <v>0.1239</v>
      </c>
      <c r="Q131" s="10"/>
      <c r="R131" s="11">
        <f>ROUND(Таб[[#This Row],[Зелений Тариф ЕЦ]]+Таб[[#This Row],[Зелений Тариф ЕЦ]]*Таб[[#This Row],[% надбавки]],4)</f>
        <v>0.1239</v>
      </c>
      <c r="S131" s="50"/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7.1999999999999995E-2</v>
      </c>
      <c r="AN131">
        <v>7.0000000000000007E-2</v>
      </c>
      <c r="AO131">
        <v>0.10100000000000001</v>
      </c>
      <c r="AP131">
        <v>7.2999999999999995E-2</v>
      </c>
      <c r="AQ131">
        <v>8.4000000000000005E-2</v>
      </c>
      <c r="AR131">
        <v>9.4E-2</v>
      </c>
      <c r="AS131">
        <v>8.2000000000000003E-2</v>
      </c>
      <c r="AT131">
        <v>0.158</v>
      </c>
      <c r="AU131">
        <v>0.16400000000000001</v>
      </c>
      <c r="AV131">
        <v>0.17699999999999999</v>
      </c>
      <c r="AW131">
        <v>0.16700000000000001</v>
      </c>
      <c r="AX131">
        <v>0.16</v>
      </c>
      <c r="AY131">
        <v>0.21</v>
      </c>
      <c r="BD1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215.07551999999998</v>
      </c>
      <c r="BE1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194.26175999999998</v>
      </c>
      <c r="BF1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215.07551999999998</v>
      </c>
      <c r="BG1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208.13759999999999</v>
      </c>
      <c r="BH1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215.07551999999998</v>
      </c>
      <c r="BI1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208.13759999999999</v>
      </c>
      <c r="BJ1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215.07551999999998</v>
      </c>
      <c r="BK1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215.07551999999998</v>
      </c>
      <c r="BL1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208.13759999999999</v>
      </c>
      <c r="BM1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215.07551999999998</v>
      </c>
      <c r="BN1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208.13759999999999</v>
      </c>
      <c r="BO1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215.07551999999998</v>
      </c>
      <c r="BP131">
        <f>SUM(Таб[[#This Row],[1]:[12]])</f>
        <v>2532.3407999999995</v>
      </c>
    </row>
    <row r="132" spans="2:68" ht="89.25">
      <c r="B132" t="s">
        <v>119</v>
      </c>
      <c r="C132" t="s">
        <v>195</v>
      </c>
      <c r="G132" s="1" t="s">
        <v>325</v>
      </c>
      <c r="H132" t="s">
        <v>172</v>
      </c>
      <c r="I132" t="s">
        <v>326</v>
      </c>
      <c r="J132" s="7">
        <v>0.63</v>
      </c>
      <c r="K132" s="8"/>
      <c r="L132" s="8">
        <v>43382</v>
      </c>
      <c r="M132">
        <v>10</v>
      </c>
      <c r="N132" s="49" t="s">
        <v>71</v>
      </c>
      <c r="O132">
        <v>2018</v>
      </c>
      <c r="P132">
        <v>0.1239</v>
      </c>
      <c r="Q132" s="10">
        <v>0.1</v>
      </c>
      <c r="R132" s="11">
        <f>ROUND(Таб[[#This Row],[Зелений Тариф ЕЦ]]+Таб[[#This Row],[Зелений Тариф ЕЦ]]*Таб[[#This Row],[% надбавки]],4)</f>
        <v>0.1363</v>
      </c>
      <c r="S132" s="50">
        <v>43396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4.9000000000000002E-2</v>
      </c>
      <c r="AP132">
        <v>3.1E-2</v>
      </c>
      <c r="AQ132">
        <v>0.05</v>
      </c>
      <c r="AR132">
        <v>5.3999999999999999E-2</v>
      </c>
      <c r="AS132">
        <v>6.3E-2</v>
      </c>
      <c r="AT132">
        <v>6.2E-2</v>
      </c>
      <c r="AU132">
        <v>7.5999999999999998E-2</v>
      </c>
      <c r="AV132">
        <v>8.5999999999999993E-2</v>
      </c>
      <c r="AW132">
        <v>0.113</v>
      </c>
      <c r="AX132">
        <v>0.14000000000000001</v>
      </c>
      <c r="AY132">
        <v>0.13800000000000001</v>
      </c>
      <c r="BD1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206.23679999999999</v>
      </c>
      <c r="BE1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186.27839999999998</v>
      </c>
      <c r="BF1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206.23679999999999</v>
      </c>
      <c r="BG1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199.584</v>
      </c>
      <c r="BH1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206.23679999999999</v>
      </c>
      <c r="BI1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199.584</v>
      </c>
      <c r="BJ1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206.23679999999999</v>
      </c>
      <c r="BK1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206.23679999999999</v>
      </c>
      <c r="BL1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199.584</v>
      </c>
      <c r="BM1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206.23679999999999</v>
      </c>
      <c r="BN1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199.584</v>
      </c>
      <c r="BO1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206.23679999999999</v>
      </c>
      <c r="BP132">
        <f>SUM(Таб[[#This Row],[1]:[12]])</f>
        <v>2428.2719999999999</v>
      </c>
    </row>
    <row r="133" spans="2:68" ht="38.25">
      <c r="B133" t="s">
        <v>119</v>
      </c>
      <c r="C133" t="s">
        <v>195</v>
      </c>
      <c r="D133" t="s">
        <v>3456</v>
      </c>
      <c r="E133" t="s">
        <v>3455</v>
      </c>
      <c r="F133" t="s">
        <v>3287</v>
      </c>
      <c r="G133" s="1" t="s">
        <v>329</v>
      </c>
      <c r="H133" t="s">
        <v>122</v>
      </c>
      <c r="I133" t="s">
        <v>330</v>
      </c>
      <c r="J133" s="7">
        <v>5.6920000000000002</v>
      </c>
      <c r="K133" s="8"/>
      <c r="L133" s="8">
        <v>41599</v>
      </c>
      <c r="M133">
        <v>11</v>
      </c>
      <c r="N133" s="49" t="s">
        <v>71</v>
      </c>
      <c r="O133">
        <v>2013</v>
      </c>
      <c r="P133">
        <v>0.1239</v>
      </c>
      <c r="Q133" s="10"/>
      <c r="R133" s="11">
        <f>ROUND(Таб[[#This Row],[Зелений Тариф ЕЦ]]+Таб[[#This Row],[Зелений Тариф ЕЦ]]*Таб[[#This Row],[% надбавки]],4)</f>
        <v>0.1239</v>
      </c>
      <c r="S133" s="50"/>
      <c r="T133">
        <v>3.1030000000000002</v>
      </c>
      <c r="U133">
        <v>2.9769999999999999</v>
      </c>
      <c r="V133">
        <v>3.1340000000000003</v>
      </c>
      <c r="W133">
        <v>3.0489999999999995</v>
      </c>
      <c r="X133">
        <v>2.9109999999999996</v>
      </c>
      <c r="Y133">
        <v>3.4989999999999988</v>
      </c>
      <c r="Z133">
        <v>3.2470000000000034</v>
      </c>
      <c r="AA133">
        <v>2.972999999999999</v>
      </c>
      <c r="AB133">
        <v>2.6649999999999991</v>
      </c>
      <c r="AC133">
        <v>2.9230000000000018</v>
      </c>
      <c r="AD133">
        <v>2.8539999999999992</v>
      </c>
      <c r="AE133">
        <v>3.1890000000000001</v>
      </c>
      <c r="AF133">
        <v>3.4630000000000001</v>
      </c>
      <c r="AG133">
        <v>3.1379999999999999</v>
      </c>
      <c r="AH133">
        <v>3.2690000000000001</v>
      </c>
      <c r="AI133">
        <v>3.1949999999999998</v>
      </c>
      <c r="AJ133">
        <v>3.669</v>
      </c>
      <c r="AK133">
        <v>3.5310000000000001</v>
      </c>
      <c r="AL133">
        <v>3.85</v>
      </c>
      <c r="AM133">
        <v>3.9340000000000002</v>
      </c>
      <c r="AN133">
        <v>3.649</v>
      </c>
      <c r="AO133">
        <v>3.8650000000000002</v>
      </c>
      <c r="AP133">
        <v>3.55</v>
      </c>
      <c r="AQ133">
        <v>3.1259999999999999</v>
      </c>
      <c r="AR133">
        <v>2.0419999999999998</v>
      </c>
      <c r="AS133">
        <v>1.7090000000000001</v>
      </c>
      <c r="AT133">
        <v>2.7949999999999999</v>
      </c>
      <c r="AU133">
        <v>2.9060000000000001</v>
      </c>
      <c r="AV133">
        <v>3.1</v>
      </c>
      <c r="AW133">
        <v>2.7949999999999999</v>
      </c>
      <c r="AX133">
        <v>3.2320000000000002</v>
      </c>
      <c r="AY133">
        <v>2.8460000000000001</v>
      </c>
      <c r="BD1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1863.33312</v>
      </c>
      <c r="BE1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1683.0105599999999</v>
      </c>
      <c r="BF1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1863.33312</v>
      </c>
      <c r="BG1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1803.2256</v>
      </c>
      <c r="BH1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1863.33312</v>
      </c>
      <c r="BI1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1803.2256</v>
      </c>
      <c r="BJ1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1863.33312</v>
      </c>
      <c r="BK1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1863.33312</v>
      </c>
      <c r="BL1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1803.2256</v>
      </c>
      <c r="BM1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1863.33312</v>
      </c>
      <c r="BN1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1803.2256</v>
      </c>
      <c r="BO1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1863.33312</v>
      </c>
      <c r="BP133">
        <f>SUM(Таб[[#This Row],[1]:[12]])</f>
        <v>21939.2448</v>
      </c>
    </row>
    <row r="134" spans="2:68">
      <c r="B134" t="s">
        <v>119</v>
      </c>
      <c r="C134" t="s">
        <v>195</v>
      </c>
      <c r="G134" s="1" t="s">
        <v>333</v>
      </c>
      <c r="H134" t="s">
        <v>107</v>
      </c>
      <c r="J134" s="7">
        <v>2.3820000000000001</v>
      </c>
      <c r="K134" s="8"/>
      <c r="L134" s="8">
        <v>42152</v>
      </c>
      <c r="M134">
        <v>5</v>
      </c>
      <c r="N134" s="49" t="s">
        <v>57</v>
      </c>
      <c r="O134">
        <v>2015</v>
      </c>
      <c r="P134">
        <v>0.1239</v>
      </c>
      <c r="Q134" s="10"/>
      <c r="R134" s="11">
        <f>ROUND(Таб[[#This Row],[Зелений Тариф ЕЦ]]+Таб[[#This Row],[Зелений Тариф ЕЦ]]*Таб[[#This Row],[% надбавки]],4)</f>
        <v>0.1239</v>
      </c>
      <c r="S134" s="50"/>
      <c r="T134">
        <v>0.503</v>
      </c>
      <c r="U134">
        <v>0.15300000000000002</v>
      </c>
      <c r="V134">
        <v>0</v>
      </c>
      <c r="W134">
        <v>0</v>
      </c>
      <c r="X134">
        <v>0</v>
      </c>
      <c r="Y134">
        <v>0</v>
      </c>
      <c r="Z134">
        <v>6.0999999999999943E-2</v>
      </c>
      <c r="AA134">
        <v>0.43400000000000005</v>
      </c>
      <c r="AB134">
        <v>0.55200000000000005</v>
      </c>
      <c r="AC134">
        <v>0.61299999999999977</v>
      </c>
      <c r="AD134">
        <v>0.63100000000000023</v>
      </c>
      <c r="AE134">
        <v>0.61899999999999977</v>
      </c>
      <c r="AF134">
        <v>0.83799999999999997</v>
      </c>
      <c r="AG134">
        <v>0.73399999999999999</v>
      </c>
      <c r="AH134">
        <v>0.89100000000000001</v>
      </c>
      <c r="AI134">
        <v>0.86599999999999999</v>
      </c>
      <c r="AJ134">
        <v>1</v>
      </c>
      <c r="AK134">
        <v>1.046</v>
      </c>
      <c r="AL134">
        <v>0.90300000000000002</v>
      </c>
      <c r="AM134">
        <v>1.044</v>
      </c>
      <c r="AN134">
        <v>1.212</v>
      </c>
      <c r="AO134">
        <v>1.069</v>
      </c>
      <c r="AP134">
        <v>1.0640000000000001</v>
      </c>
      <c r="AQ134">
        <v>0.98299999999999998</v>
      </c>
      <c r="AR134">
        <v>1.0489999999999999</v>
      </c>
      <c r="AS134">
        <v>1.129</v>
      </c>
      <c r="AT134">
        <v>0.998</v>
      </c>
      <c r="AU134">
        <v>0.871</v>
      </c>
      <c r="AV134">
        <v>0.86799999999999999</v>
      </c>
      <c r="AW134">
        <v>0.746</v>
      </c>
      <c r="AX134">
        <v>1.111</v>
      </c>
      <c r="AY134">
        <v>1.1279999999999999</v>
      </c>
      <c r="BD1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779.77152000000012</v>
      </c>
      <c r="BE1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704.3097600000001</v>
      </c>
      <c r="BF1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779.77152000000012</v>
      </c>
      <c r="BG1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754.61760000000004</v>
      </c>
      <c r="BH1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779.77152000000012</v>
      </c>
      <c r="BI1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754.61760000000004</v>
      </c>
      <c r="BJ1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779.77152000000012</v>
      </c>
      <c r="BK1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779.77152000000012</v>
      </c>
      <c r="BL1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754.61760000000004</v>
      </c>
      <c r="BM1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779.77152000000012</v>
      </c>
      <c r="BN1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754.61760000000004</v>
      </c>
      <c r="BO1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779.77152000000012</v>
      </c>
      <c r="BP134">
        <f>SUM(Таб[[#This Row],[1]:[12]])</f>
        <v>9181.1808000000019</v>
      </c>
    </row>
    <row r="135" spans="2:68" ht="25.5">
      <c r="B135" t="s">
        <v>119</v>
      </c>
      <c r="C135" t="s">
        <v>195</v>
      </c>
      <c r="G135" s="1" t="s">
        <v>337</v>
      </c>
      <c r="H135" t="s">
        <v>82</v>
      </c>
      <c r="I135" t="s">
        <v>338</v>
      </c>
      <c r="J135" s="7">
        <v>0.40100000000000002</v>
      </c>
      <c r="K135" s="8"/>
      <c r="L135" s="8">
        <v>43602</v>
      </c>
      <c r="M135">
        <v>5</v>
      </c>
      <c r="N135" s="49" t="s">
        <v>57</v>
      </c>
      <c r="O135">
        <v>2019</v>
      </c>
      <c r="P135">
        <v>0.1239</v>
      </c>
      <c r="Q135" s="10"/>
      <c r="R135" s="11">
        <f>ROUND(Таб[[#This Row],[Зелений Тариф ЕЦ]]+Таб[[#This Row],[Зелений Тариф ЕЦ]]*Таб[[#This Row],[% надбавки]],4)</f>
        <v>0.1239</v>
      </c>
      <c r="S135" s="50"/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2.5999999999999999E-2</v>
      </c>
      <c r="AX135">
        <v>4.8000000000000001E-2</v>
      </c>
      <c r="AY135">
        <v>4.4999999999999998E-2</v>
      </c>
      <c r="BD1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131.27136000000002</v>
      </c>
      <c r="BE1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118.56768000000002</v>
      </c>
      <c r="BF1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131.27136000000002</v>
      </c>
      <c r="BG1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127.03680000000001</v>
      </c>
      <c r="BH1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131.27136000000002</v>
      </c>
      <c r="BI1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127.03680000000001</v>
      </c>
      <c r="BJ1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131.27136000000002</v>
      </c>
      <c r="BK1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131.27136000000002</v>
      </c>
      <c r="BL1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127.03680000000001</v>
      </c>
      <c r="BM1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131.27136000000002</v>
      </c>
      <c r="BN1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127.03680000000001</v>
      </c>
      <c r="BO1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131.27136000000002</v>
      </c>
      <c r="BP135">
        <f>SUM(Таб[[#This Row],[1]:[12]])</f>
        <v>1545.6144000000002</v>
      </c>
    </row>
    <row r="136" spans="2:68" ht="51">
      <c r="B136" t="s">
        <v>119</v>
      </c>
      <c r="C136" t="s">
        <v>195</v>
      </c>
      <c r="G136" s="1" t="s">
        <v>341</v>
      </c>
      <c r="H136" t="s">
        <v>101</v>
      </c>
      <c r="I136" t="s">
        <v>342</v>
      </c>
      <c r="J136" s="7">
        <v>1.2030000000000001</v>
      </c>
      <c r="K136" s="8"/>
      <c r="L136" s="8">
        <v>43371</v>
      </c>
      <c r="M136">
        <v>9</v>
      </c>
      <c r="N136" s="49" t="s">
        <v>60</v>
      </c>
      <c r="O136">
        <v>2018</v>
      </c>
      <c r="P136">
        <v>0.1239</v>
      </c>
      <c r="Q136" s="10"/>
      <c r="R136" s="11">
        <f>ROUND(Таб[[#This Row],[Зелений Тариф ЕЦ]]+Таб[[#This Row],[Зелений Тариф ЕЦ]]*Таб[[#This Row],[% надбавки]],4)</f>
        <v>0.1239</v>
      </c>
      <c r="S136" s="50"/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BD1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393.81408000000005</v>
      </c>
      <c r="BE1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355.70303999999999</v>
      </c>
      <c r="BF1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393.81408000000005</v>
      </c>
      <c r="BG1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381.11040000000003</v>
      </c>
      <c r="BH1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393.81408000000005</v>
      </c>
      <c r="BI1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381.11040000000003</v>
      </c>
      <c r="BJ1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393.81408000000005</v>
      </c>
      <c r="BK1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393.81408000000005</v>
      </c>
      <c r="BL1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381.11040000000003</v>
      </c>
      <c r="BM1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393.81408000000005</v>
      </c>
      <c r="BN1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381.11040000000003</v>
      </c>
      <c r="BO1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393.81408000000005</v>
      </c>
      <c r="BP136">
        <f>SUM(Таб[[#This Row],[1]:[12]])</f>
        <v>4636.8432000000012</v>
      </c>
    </row>
    <row r="137" spans="2:68" ht="25.5">
      <c r="B137" t="s">
        <v>119</v>
      </c>
      <c r="C137" t="s">
        <v>195</v>
      </c>
      <c r="G137" s="1" t="s">
        <v>346</v>
      </c>
      <c r="H137" t="s">
        <v>56</v>
      </c>
      <c r="I137" t="s">
        <v>348</v>
      </c>
      <c r="J137" s="7">
        <v>0.2</v>
      </c>
      <c r="K137" s="8"/>
      <c r="L137" s="8">
        <v>41508</v>
      </c>
      <c r="M137">
        <v>8</v>
      </c>
      <c r="N137" s="49" t="s">
        <v>60</v>
      </c>
      <c r="O137">
        <v>2013</v>
      </c>
      <c r="P137">
        <v>0.1239</v>
      </c>
      <c r="Q137" s="10"/>
      <c r="R137" s="11">
        <f>ROUND(Таб[[#This Row],[Зелений Тариф ЕЦ]]+Таб[[#This Row],[Зелений Тариф ЕЦ]]*Таб[[#This Row],[% надбавки]],4)</f>
        <v>0.1239</v>
      </c>
      <c r="S137" s="50"/>
      <c r="T137">
        <v>3.5999999999999997E-2</v>
      </c>
      <c r="U137">
        <v>4.8000000000000008E-2</v>
      </c>
      <c r="V137">
        <v>3.4999999999999989E-2</v>
      </c>
      <c r="W137">
        <v>8.0000000000000071E-3</v>
      </c>
      <c r="X137">
        <v>5.7999999999999996E-2</v>
      </c>
      <c r="Y137">
        <v>3.1E-2</v>
      </c>
      <c r="Z137">
        <v>2.1999999999999992E-2</v>
      </c>
      <c r="AA137">
        <v>1.3000000000000012E-2</v>
      </c>
      <c r="AB137">
        <v>3.3999999999999975E-2</v>
      </c>
      <c r="AC137">
        <v>4.8000000000000043E-2</v>
      </c>
      <c r="AD137">
        <v>3.5999999999999976E-2</v>
      </c>
      <c r="AE137">
        <v>3.5000000000000031E-2</v>
      </c>
      <c r="AF137">
        <v>0</v>
      </c>
      <c r="AG137">
        <v>0</v>
      </c>
      <c r="AH137">
        <v>5.7000000000000002E-2</v>
      </c>
      <c r="AI137">
        <v>3.2000000000000001E-2</v>
      </c>
      <c r="AJ137">
        <v>1.9E-2</v>
      </c>
      <c r="AK137">
        <v>3.9E-2</v>
      </c>
      <c r="AL137">
        <v>1.9E-2</v>
      </c>
      <c r="AM137">
        <v>3.5000000000000003E-2</v>
      </c>
      <c r="AN137">
        <v>2.5000000000000001E-2</v>
      </c>
      <c r="AO137">
        <v>2.5000000000000001E-2</v>
      </c>
      <c r="AP137">
        <v>2.5000000000000001E-2</v>
      </c>
      <c r="AQ137">
        <v>3.4000000000000002E-2</v>
      </c>
      <c r="AR137">
        <v>3.3000000000000002E-2</v>
      </c>
      <c r="AS137">
        <v>2.8000000000000001E-2</v>
      </c>
      <c r="AT137">
        <v>1.7999999999999999E-2</v>
      </c>
      <c r="AU137">
        <v>2.5000000000000001E-2</v>
      </c>
      <c r="AV137">
        <v>2.7E-2</v>
      </c>
      <c r="AW137">
        <v>2.1999999999999999E-2</v>
      </c>
      <c r="AX137">
        <v>2.5000000000000001E-2</v>
      </c>
      <c r="AY137">
        <v>2.3E-2</v>
      </c>
      <c r="BD1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65.472000000000008</v>
      </c>
      <c r="BE1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59.13600000000001</v>
      </c>
      <c r="BF1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65.472000000000008</v>
      </c>
      <c r="BG1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63.36</v>
      </c>
      <c r="BH1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65.472000000000008</v>
      </c>
      <c r="BI1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63.36</v>
      </c>
      <c r="BJ1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65.472000000000008</v>
      </c>
      <c r="BK1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65.472000000000008</v>
      </c>
      <c r="BL1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63.36</v>
      </c>
      <c r="BM1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65.472000000000008</v>
      </c>
      <c r="BN1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63.36</v>
      </c>
      <c r="BO1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65.472000000000008</v>
      </c>
      <c r="BP137">
        <f>SUM(Таб[[#This Row],[1]:[12]])</f>
        <v>770.88</v>
      </c>
    </row>
    <row r="138" spans="2:68" ht="63.75">
      <c r="B138" t="s">
        <v>119</v>
      </c>
      <c r="C138" t="s">
        <v>195</v>
      </c>
      <c r="G138" s="1" t="s">
        <v>350</v>
      </c>
      <c r="H138" t="s">
        <v>172</v>
      </c>
      <c r="I138" t="s">
        <v>351</v>
      </c>
      <c r="J138" s="7">
        <v>5.109</v>
      </c>
      <c r="K138" s="8"/>
      <c r="L138" s="8">
        <v>43013</v>
      </c>
      <c r="M138">
        <v>10</v>
      </c>
      <c r="N138" s="49" t="s">
        <v>71</v>
      </c>
      <c r="O138">
        <v>2017</v>
      </c>
      <c r="P138">
        <v>0.1239</v>
      </c>
      <c r="Q138" s="10"/>
      <c r="R138" s="11">
        <f>ROUND(Таб[[#This Row],[Зелений Тариф ЕЦ]]+Таб[[#This Row],[Зелений Тариф ЕЦ]]*Таб[[#This Row],[% надбавки]],4)</f>
        <v>0.1239</v>
      </c>
      <c r="S138" s="50"/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1.0549999999999999</v>
      </c>
      <c r="AF138">
        <v>2.3559999999999999</v>
      </c>
      <c r="AG138">
        <v>2.5609999999999999</v>
      </c>
      <c r="AH138">
        <v>3.2080000000000002</v>
      </c>
      <c r="AI138">
        <v>2.1949999999999998</v>
      </c>
      <c r="AJ138">
        <v>2.266</v>
      </c>
      <c r="AK138">
        <v>2.3180000000000001</v>
      </c>
      <c r="AL138">
        <v>2.6429999999999998</v>
      </c>
      <c r="AM138">
        <v>2.9830000000000001</v>
      </c>
      <c r="AN138">
        <v>1.8819999999999999</v>
      </c>
      <c r="AO138">
        <v>2.823</v>
      </c>
      <c r="AP138">
        <v>3.1619999999999999</v>
      </c>
      <c r="AQ138">
        <v>3.2749999999999999</v>
      </c>
      <c r="AR138">
        <v>3.4689999999999999</v>
      </c>
      <c r="AS138">
        <v>3.1960000000000002</v>
      </c>
      <c r="AT138">
        <v>3.472</v>
      </c>
      <c r="AU138">
        <v>3.4039999999999999</v>
      </c>
      <c r="AV138">
        <v>2.9449999999999998</v>
      </c>
      <c r="AW138">
        <v>3.2970000000000002</v>
      </c>
      <c r="AX138">
        <v>3.5369999999999999</v>
      </c>
      <c r="AY138">
        <v>6.1260000000000003</v>
      </c>
      <c r="BD1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1672.4822399999998</v>
      </c>
      <c r="BE1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1510.6291200000001</v>
      </c>
      <c r="BF1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1672.4822399999998</v>
      </c>
      <c r="BG1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1618.5311999999999</v>
      </c>
      <c r="BH1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1672.4822399999998</v>
      </c>
      <c r="BI1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1618.5311999999999</v>
      </c>
      <c r="BJ1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1672.4822399999998</v>
      </c>
      <c r="BK1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1672.4822399999998</v>
      </c>
      <c r="BL1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1618.5311999999999</v>
      </c>
      <c r="BM1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1672.4822399999998</v>
      </c>
      <c r="BN1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1618.5311999999999</v>
      </c>
      <c r="BO1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1672.4822399999998</v>
      </c>
      <c r="BP138">
        <f>SUM(Таб[[#This Row],[1]:[12]])</f>
        <v>19692.1296</v>
      </c>
    </row>
    <row r="139" spans="2:68" ht="63.75">
      <c r="B139" t="s">
        <v>119</v>
      </c>
      <c r="C139" t="s">
        <v>195</v>
      </c>
      <c r="G139" s="1" t="s">
        <v>350</v>
      </c>
      <c r="H139" t="s">
        <v>172</v>
      </c>
      <c r="I139" t="s">
        <v>351</v>
      </c>
      <c r="J139" s="7">
        <v>10.5</v>
      </c>
      <c r="K139" s="8"/>
      <c r="L139" s="8">
        <v>43641</v>
      </c>
      <c r="M139">
        <v>6</v>
      </c>
      <c r="N139" s="49" t="s">
        <v>57</v>
      </c>
      <c r="O139">
        <v>2019</v>
      </c>
      <c r="P139">
        <v>0.1239</v>
      </c>
      <c r="Q139" s="10"/>
      <c r="R139" s="11">
        <f>ROUND(Таб[[#This Row],[Зелений Тариф ЕЦ]]+Таб[[#This Row],[Зелений Тариф ЕЦ]]*Таб[[#This Row],[% надбавки]],4)</f>
        <v>0.1239</v>
      </c>
      <c r="S139" s="50"/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BD1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3437.2799999999997</v>
      </c>
      <c r="BE1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3104.6400000000003</v>
      </c>
      <c r="BF1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3437.2799999999997</v>
      </c>
      <c r="BG1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3326.3999999999996</v>
      </c>
      <c r="BH1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3437.2799999999997</v>
      </c>
      <c r="BI1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3326.3999999999996</v>
      </c>
      <c r="BJ1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3437.2799999999997</v>
      </c>
      <c r="BK1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3437.2799999999997</v>
      </c>
      <c r="BL1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3326.3999999999996</v>
      </c>
      <c r="BM1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3437.2799999999997</v>
      </c>
      <c r="BN1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3326.3999999999996</v>
      </c>
      <c r="BO1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3437.2799999999997</v>
      </c>
      <c r="BP139">
        <f>SUM(Таб[[#This Row],[1]:[12]])</f>
        <v>40471.199999999997</v>
      </c>
    </row>
    <row r="140" spans="2:68" ht="89.25">
      <c r="B140" t="s">
        <v>119</v>
      </c>
      <c r="C140" t="s">
        <v>195</v>
      </c>
      <c r="G140" s="1" t="s">
        <v>357</v>
      </c>
      <c r="H140" t="s">
        <v>141</v>
      </c>
      <c r="I140" t="s">
        <v>359</v>
      </c>
      <c r="J140" s="7">
        <v>0.49</v>
      </c>
      <c r="K140" s="8"/>
      <c r="L140" s="8">
        <v>43543</v>
      </c>
      <c r="M140">
        <v>3</v>
      </c>
      <c r="N140" s="49" t="s">
        <v>67</v>
      </c>
      <c r="O140">
        <v>2019</v>
      </c>
      <c r="P140">
        <v>0.1239</v>
      </c>
      <c r="Q140" s="10"/>
      <c r="R140" s="11">
        <f>ROUND(Таб[[#This Row],[Зелений Тариф ЕЦ]]+Таб[[#This Row],[Зелений Тариф ЕЦ]]*Таб[[#This Row],[% надбавки]],4)</f>
        <v>0.1239</v>
      </c>
      <c r="S140" s="50"/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R140">
        <v>0</v>
      </c>
      <c r="AS140">
        <v>0</v>
      </c>
      <c r="AT140">
        <v>0</v>
      </c>
      <c r="AU140">
        <v>8.3000000000000004E-2</v>
      </c>
      <c r="AV140">
        <v>0.123</v>
      </c>
      <c r="AW140">
        <v>0.109</v>
      </c>
      <c r="AX140">
        <v>0.127</v>
      </c>
      <c r="AY140">
        <v>0.152</v>
      </c>
      <c r="BD1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160.40639999999999</v>
      </c>
      <c r="BE1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144.88319999999999</v>
      </c>
      <c r="BF1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160.40639999999999</v>
      </c>
      <c r="BG1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155.232</v>
      </c>
      <c r="BH1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160.40639999999999</v>
      </c>
      <c r="BI1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155.232</v>
      </c>
      <c r="BJ1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160.40639999999999</v>
      </c>
      <c r="BK1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160.40639999999999</v>
      </c>
      <c r="BL1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155.232</v>
      </c>
      <c r="BM1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160.40639999999999</v>
      </c>
      <c r="BN1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155.232</v>
      </c>
      <c r="BO1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160.40639999999999</v>
      </c>
      <c r="BP140">
        <f>SUM(Таб[[#This Row],[1]:[12]])</f>
        <v>1888.6559999999999</v>
      </c>
    </row>
    <row r="141" spans="2:68" ht="63.75">
      <c r="B141" t="s">
        <v>119</v>
      </c>
      <c r="C141" t="s">
        <v>195</v>
      </c>
      <c r="G141" s="1" t="s">
        <v>361</v>
      </c>
      <c r="H141" t="s">
        <v>198</v>
      </c>
      <c r="I141" t="s">
        <v>362</v>
      </c>
      <c r="J141" s="7">
        <v>3.2</v>
      </c>
      <c r="K141" s="8"/>
      <c r="L141" s="8">
        <v>43676</v>
      </c>
      <c r="M141">
        <v>7</v>
      </c>
      <c r="N141" s="49" t="s">
        <v>60</v>
      </c>
      <c r="O141">
        <v>2019</v>
      </c>
      <c r="P141">
        <v>0.1239</v>
      </c>
      <c r="Q141" s="10">
        <v>0.1</v>
      </c>
      <c r="R141" s="11">
        <f>ROUND(Таб[[#This Row],[Зелений Тариф ЕЦ]]+Таб[[#This Row],[Зелений Тариф ЕЦ]]*Таб[[#This Row],[% надбавки]],4)</f>
        <v>0.1363</v>
      </c>
      <c r="S141" s="50">
        <v>43697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BD1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1047.5520000000001</v>
      </c>
      <c r="BE1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946.17600000000016</v>
      </c>
      <c r="BF1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1047.5520000000001</v>
      </c>
      <c r="BG1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1013.76</v>
      </c>
      <c r="BH1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1047.5520000000001</v>
      </c>
      <c r="BI1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1013.76</v>
      </c>
      <c r="BJ1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1047.5520000000001</v>
      </c>
      <c r="BK1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1047.5520000000001</v>
      </c>
      <c r="BL1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1013.76</v>
      </c>
      <c r="BM1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1047.5520000000001</v>
      </c>
      <c r="BN1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1013.76</v>
      </c>
      <c r="BO1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1047.5520000000001</v>
      </c>
      <c r="BP141">
        <f>SUM(Таб[[#This Row],[1]:[12]])</f>
        <v>12334.08</v>
      </c>
    </row>
    <row r="142" spans="2:68" ht="25.5">
      <c r="B142" t="s">
        <v>119</v>
      </c>
      <c r="C142" t="s">
        <v>195</v>
      </c>
      <c r="G142" s="1" t="s">
        <v>346</v>
      </c>
      <c r="H142" t="s">
        <v>56</v>
      </c>
      <c r="I142" t="s">
        <v>348</v>
      </c>
      <c r="J142" s="7">
        <v>0.92200000000000004</v>
      </c>
      <c r="K142" s="8"/>
      <c r="L142" s="8"/>
      <c r="M142">
        <v>8</v>
      </c>
      <c r="N142" s="49" t="s">
        <v>60</v>
      </c>
      <c r="O142">
        <v>2019</v>
      </c>
      <c r="P142">
        <v>0.1239</v>
      </c>
      <c r="Q142" s="10"/>
      <c r="R142" s="11">
        <f>ROUND(Таб[[#This Row],[Зелений Тариф ЕЦ]]+Таб[[#This Row],[Зелений Тариф ЕЦ]]*Таб[[#This Row],[% надбавки]],4)</f>
        <v>0.1239</v>
      </c>
      <c r="S142" s="50"/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BD1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301.82592</v>
      </c>
      <c r="BE1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272.61696000000001</v>
      </c>
      <c r="BF1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301.82592</v>
      </c>
      <c r="BG1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292.08960000000002</v>
      </c>
      <c r="BH1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301.82592</v>
      </c>
      <c r="BI1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292.08960000000002</v>
      </c>
      <c r="BJ1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301.82592</v>
      </c>
      <c r="BK1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301.82592</v>
      </c>
      <c r="BL1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292.08960000000002</v>
      </c>
      <c r="BM1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301.82592</v>
      </c>
      <c r="BN1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292.08960000000002</v>
      </c>
      <c r="BO1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301.82592</v>
      </c>
      <c r="BP142">
        <f>SUM(Таб[[#This Row],[1]:[12]])</f>
        <v>3553.756800000001</v>
      </c>
    </row>
    <row r="143" spans="2:68" ht="38.25">
      <c r="B143" t="s">
        <v>119</v>
      </c>
      <c r="C143" t="s">
        <v>195</v>
      </c>
      <c r="G143" s="1" t="s">
        <v>367</v>
      </c>
      <c r="H143" t="s">
        <v>122</v>
      </c>
      <c r="I143" t="s">
        <v>369</v>
      </c>
      <c r="J143" s="7">
        <v>2.194</v>
      </c>
      <c r="K143" s="8"/>
      <c r="L143" s="8">
        <v>43749</v>
      </c>
      <c r="M143">
        <v>10</v>
      </c>
      <c r="N143" s="49" t="s">
        <v>71</v>
      </c>
      <c r="O143">
        <v>2019</v>
      </c>
      <c r="P143">
        <v>0.1239</v>
      </c>
      <c r="Q143" s="10"/>
      <c r="R143" s="11">
        <f>ROUND(Таб[[#This Row],[Зелений Тариф ЕЦ]]+Таб[[#This Row],[Зелений Тариф ЕЦ]]*Таб[[#This Row],[% надбавки]],4)</f>
        <v>0.1239</v>
      </c>
      <c r="S143" s="50"/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BD1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718.22784000000001</v>
      </c>
      <c r="BE1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648.72191999999995</v>
      </c>
      <c r="BF1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718.22784000000001</v>
      </c>
      <c r="BG1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695.05919999999992</v>
      </c>
      <c r="BH1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718.22784000000001</v>
      </c>
      <c r="BI1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695.05919999999992</v>
      </c>
      <c r="BJ1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718.22784000000001</v>
      </c>
      <c r="BK1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718.22784000000001</v>
      </c>
      <c r="BL1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695.05919999999992</v>
      </c>
      <c r="BM1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718.22784000000001</v>
      </c>
      <c r="BN1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695.05919999999992</v>
      </c>
      <c r="BO1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718.22784000000001</v>
      </c>
      <c r="BP143">
        <f>SUM(Таб[[#This Row],[1]:[12]])</f>
        <v>8456.5535999999975</v>
      </c>
    </row>
    <row r="144" spans="2:68" ht="63.75">
      <c r="B144" t="s">
        <v>119</v>
      </c>
      <c r="C144" t="s">
        <v>195</v>
      </c>
      <c r="D144" t="s">
        <v>3456</v>
      </c>
      <c r="E144" t="s">
        <v>3455</v>
      </c>
      <c r="F144" t="s">
        <v>3287</v>
      </c>
      <c r="G144" s="1" t="s">
        <v>371</v>
      </c>
      <c r="H144" t="s">
        <v>198</v>
      </c>
      <c r="J144" s="7">
        <v>12</v>
      </c>
      <c r="K144" s="8">
        <v>43768</v>
      </c>
      <c r="L144" s="8">
        <v>43813</v>
      </c>
      <c r="M144">
        <v>12</v>
      </c>
      <c r="N144" s="49" t="s">
        <v>71</v>
      </c>
      <c r="O144">
        <v>2019</v>
      </c>
      <c r="P144">
        <v>0.1239</v>
      </c>
      <c r="Q144" s="10"/>
      <c r="R144" s="11">
        <f>ROUND(Таб[[#This Row],[Зелений Тариф ЕЦ]]+Таб[[#This Row],[Зелений Тариф ЕЦ]]*Таб[[#This Row],[% надбавки]],4)</f>
        <v>0.1239</v>
      </c>
      <c r="S144" s="50"/>
      <c r="T144"/>
      <c r="BD1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3928.32</v>
      </c>
      <c r="BE1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3548.16</v>
      </c>
      <c r="BF1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3928.32</v>
      </c>
      <c r="BG1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3801.6000000000004</v>
      </c>
      <c r="BH1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3928.32</v>
      </c>
      <c r="BI1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3801.6000000000004</v>
      </c>
      <c r="BJ1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3928.32</v>
      </c>
      <c r="BK1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3928.32</v>
      </c>
      <c r="BL1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3801.6000000000004</v>
      </c>
      <c r="BM1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3928.32</v>
      </c>
      <c r="BN1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3801.6000000000004</v>
      </c>
      <c r="BO1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3928.32</v>
      </c>
      <c r="BP144">
        <f>SUM(Таб[[#This Row],[1]:[12]])</f>
        <v>46252.799999999996</v>
      </c>
    </row>
    <row r="145" spans="2:68" ht="51">
      <c r="B145" t="s">
        <v>119</v>
      </c>
      <c r="C145" t="s">
        <v>195</v>
      </c>
      <c r="G145" s="1" t="s">
        <v>373</v>
      </c>
      <c r="H145" t="s">
        <v>321</v>
      </c>
      <c r="I145" t="s">
        <v>374</v>
      </c>
      <c r="J145" s="7">
        <v>0.52700000000000002</v>
      </c>
      <c r="K145" s="8">
        <v>43794</v>
      </c>
      <c r="L145" s="8">
        <v>43819</v>
      </c>
      <c r="M145">
        <v>12</v>
      </c>
      <c r="N145" s="49" t="s">
        <v>71</v>
      </c>
      <c r="O145">
        <v>2019</v>
      </c>
      <c r="P145">
        <v>0.1239</v>
      </c>
      <c r="Q145" s="10"/>
      <c r="R145" s="11">
        <f>ROUND(Таб[[#This Row],[Зелений Тариф ЕЦ]]+Таб[[#This Row],[Зелений Тариф ЕЦ]]*Таб[[#This Row],[% надбавки]],4)</f>
        <v>0.1239</v>
      </c>
      <c r="S145" s="50"/>
      <c r="T145"/>
      <c r="BD1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172.51872</v>
      </c>
      <c r="BE1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155.82335999999998</v>
      </c>
      <c r="BF1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172.51872</v>
      </c>
      <c r="BG1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166.95359999999999</v>
      </c>
      <c r="BH1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172.51872</v>
      </c>
      <c r="BI1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166.95359999999999</v>
      </c>
      <c r="BJ1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172.51872</v>
      </c>
      <c r="BK1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172.51872</v>
      </c>
      <c r="BL1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166.95359999999999</v>
      </c>
      <c r="BM1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172.51872</v>
      </c>
      <c r="BN1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166.95359999999999</v>
      </c>
      <c r="BO1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172.51872</v>
      </c>
      <c r="BP145">
        <f>SUM(Таб[[#This Row],[1]:[12]])</f>
        <v>2031.2688000000003</v>
      </c>
    </row>
    <row r="146" spans="2:68" ht="51">
      <c r="B146" t="s">
        <v>119</v>
      </c>
      <c r="C146" t="s">
        <v>195</v>
      </c>
      <c r="G146" s="1" t="s">
        <v>377</v>
      </c>
      <c r="H146" t="s">
        <v>101</v>
      </c>
      <c r="J146" s="7">
        <v>3.5089999999999999</v>
      </c>
      <c r="K146" s="8">
        <v>43909</v>
      </c>
      <c r="L146" s="8">
        <v>43924</v>
      </c>
      <c r="N146" s="49"/>
      <c r="O146">
        <v>2020</v>
      </c>
      <c r="P146">
        <v>0.1239</v>
      </c>
      <c r="Q146" s="10"/>
      <c r="R146" s="11">
        <f>ROUND(Таб[[#This Row],[Зелений Тариф ЕЦ]]+Таб[[#This Row],[Зелений Тариф ЕЦ]]*Таб[[#This Row],[% надбавки]],4)</f>
        <v>0.1239</v>
      </c>
      <c r="S146" s="50"/>
      <c r="T146"/>
      <c r="BD1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1148.70624</v>
      </c>
      <c r="BE1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1037.5411199999999</v>
      </c>
      <c r="BF1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1148.70624</v>
      </c>
      <c r="BG1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1111.6512</v>
      </c>
      <c r="BH1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1148.70624</v>
      </c>
      <c r="BI1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1111.6512</v>
      </c>
      <c r="BJ1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1148.70624</v>
      </c>
      <c r="BK1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1148.70624</v>
      </c>
      <c r="BL1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1111.6512</v>
      </c>
      <c r="BM1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1148.70624</v>
      </c>
      <c r="BN1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1111.6512</v>
      </c>
      <c r="BO1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1148.70624</v>
      </c>
      <c r="BP146">
        <f>SUM(Таб[[#This Row],[1]:[12]])</f>
        <v>13525.089599999999</v>
      </c>
    </row>
    <row r="147" spans="2:68" ht="89.25">
      <c r="B147" t="s">
        <v>119</v>
      </c>
      <c r="C147" t="s">
        <v>195</v>
      </c>
      <c r="G147" s="1" t="s">
        <v>379</v>
      </c>
      <c r="H147" t="s">
        <v>172</v>
      </c>
      <c r="I147" t="s">
        <v>173</v>
      </c>
      <c r="J147" s="7">
        <v>0.22</v>
      </c>
      <c r="K147" s="8">
        <v>43857</v>
      </c>
      <c r="L147" s="8">
        <v>43936</v>
      </c>
      <c r="N147" s="49"/>
      <c r="O147">
        <v>2020</v>
      </c>
      <c r="P147">
        <v>0.1239</v>
      </c>
      <c r="Q147" s="10"/>
      <c r="R147" s="11">
        <f>ROUND(Таб[[#This Row],[Зелений Тариф ЕЦ]]+Таб[[#This Row],[Зелений Тариф ЕЦ]]*Таб[[#This Row],[% надбавки]],4)</f>
        <v>0.1239</v>
      </c>
      <c r="S147" s="50"/>
      <c r="T147"/>
      <c r="BD1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72.019199999999998</v>
      </c>
      <c r="BE1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65.049599999999998</v>
      </c>
      <c r="BF1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72.019199999999998</v>
      </c>
      <c r="BG1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69.695999999999998</v>
      </c>
      <c r="BH1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72.019199999999998</v>
      </c>
      <c r="BI1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69.695999999999998</v>
      </c>
      <c r="BJ1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72.019199999999998</v>
      </c>
      <c r="BK1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72.019199999999998</v>
      </c>
      <c r="BL1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69.695999999999998</v>
      </c>
      <c r="BM1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72.019199999999998</v>
      </c>
      <c r="BN1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69.695999999999998</v>
      </c>
      <c r="BO1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72.019199999999998</v>
      </c>
      <c r="BP147">
        <f>SUM(Таб[[#This Row],[1]:[12]])</f>
        <v>847.96799999999996</v>
      </c>
    </row>
    <row r="148" spans="2:68" ht="25.5">
      <c r="B148" t="s">
        <v>384</v>
      </c>
      <c r="C148" t="str">
        <f>IFERROR(VLOOKUP(Таб[[#This Row],[Зелений Тариф ЕЦ]],Sheet6!$H$9:$I$29,2,FALSE),"")</f>
        <v>Земля</v>
      </c>
      <c r="G148" s="1" t="s">
        <v>385</v>
      </c>
      <c r="H148" t="s">
        <v>136</v>
      </c>
      <c r="I148" t="s">
        <v>386</v>
      </c>
      <c r="J148" s="7">
        <v>3.0779999999999998</v>
      </c>
      <c r="K148" s="8"/>
      <c r="L148" s="8">
        <v>42684</v>
      </c>
      <c r="M148">
        <v>11</v>
      </c>
      <c r="N148" s="49" t="s">
        <v>71</v>
      </c>
      <c r="O148">
        <v>2016</v>
      </c>
      <c r="P148">
        <v>0.15989999999999999</v>
      </c>
      <c r="Q148" s="10"/>
      <c r="R148" s="11">
        <f>ROUND(Таб[[#This Row],[Зелений Тариф ЕЦ]]+Таб[[#This Row],[Зелений Тариф ЕЦ]]*Таб[[#This Row],[% надбавки]],4)</f>
        <v>0.15989999999999999</v>
      </c>
      <c r="S148" s="12"/>
      <c r="T148">
        <v>0</v>
      </c>
      <c r="U148">
        <v>0</v>
      </c>
      <c r="V148">
        <v>0</v>
      </c>
      <c r="W148">
        <v>0</v>
      </c>
      <c r="X148">
        <v>0</v>
      </c>
      <c r="Y148">
        <v>0.47399999999999998</v>
      </c>
      <c r="Z148">
        <v>0.51300000000000001</v>
      </c>
      <c r="AA148">
        <v>0.44200000000000006</v>
      </c>
      <c r="AB148">
        <v>0.39700000000000002</v>
      </c>
      <c r="AC148">
        <v>0.16999999999999993</v>
      </c>
      <c r="AD148">
        <v>3.5000000000000142E-2</v>
      </c>
      <c r="AE148">
        <v>4.0000000000000036E-2</v>
      </c>
      <c r="AF148">
        <v>0.04</v>
      </c>
      <c r="AG148">
        <v>0.121</v>
      </c>
      <c r="AH148">
        <v>0.246</v>
      </c>
      <c r="AI148">
        <v>0.442</v>
      </c>
      <c r="AJ148">
        <v>0.52400000000000002</v>
      </c>
      <c r="AK148">
        <v>0.51</v>
      </c>
      <c r="AL148">
        <v>0.47899999999999998</v>
      </c>
      <c r="AM148">
        <v>0.55400000000000005</v>
      </c>
      <c r="AN148">
        <v>0.31</v>
      </c>
      <c r="AO148">
        <v>0.309</v>
      </c>
      <c r="AP148">
        <v>0.10199999999999999</v>
      </c>
      <c r="AQ148">
        <v>2.7E-2</v>
      </c>
      <c r="AR148">
        <v>2.5000000000000001E-2</v>
      </c>
      <c r="AS148">
        <v>0.16500000000000001</v>
      </c>
      <c r="AT148">
        <v>0.32700000000000001</v>
      </c>
      <c r="AU148">
        <v>0.43099999999999999</v>
      </c>
      <c r="AV148">
        <v>0.44500000000000001</v>
      </c>
      <c r="AW148">
        <v>0.50800000000000001</v>
      </c>
      <c r="AX148">
        <v>0.53100000000000003</v>
      </c>
      <c r="AY148">
        <v>0.50800000000000001</v>
      </c>
      <c r="BD1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99.114293159178544</v>
      </c>
      <c r="BE1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170.906757705563</v>
      </c>
      <c r="BF1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288.33248919033753</v>
      </c>
      <c r="BG1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409.82742919191122</v>
      </c>
      <c r="BH1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504.58185608309077</v>
      </c>
      <c r="BI1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523.18395215988664</v>
      </c>
      <c r="BJ1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531.61302694468486</v>
      </c>
      <c r="BK1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459.52990464710047</v>
      </c>
      <c r="BL1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322.63010383193017</v>
      </c>
      <c r="BM1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207.23897660555508</v>
      </c>
      <c r="BN1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95.917057895979241</v>
      </c>
      <c r="BO1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81.093512584782431</v>
      </c>
      <c r="BP148">
        <f>SUM(Таб[[#This Row],[1]:[12]])</f>
        <v>3693.9693599999996</v>
      </c>
    </row>
    <row r="149" spans="2:68" ht="89.25">
      <c r="B149" t="s">
        <v>384</v>
      </c>
      <c r="C149" t="str">
        <f>IFERROR(VLOOKUP(Таб[[#This Row],[Зелений Тариф ЕЦ]],Sheet6!$H$9:$I$29,2,FALSE),"")</f>
        <v>Земля</v>
      </c>
      <c r="G149" s="1" t="s">
        <v>388</v>
      </c>
      <c r="H149" t="s">
        <v>136</v>
      </c>
      <c r="I149" t="s">
        <v>386</v>
      </c>
      <c r="J149" s="7">
        <v>1.0449999999999999</v>
      </c>
      <c r="K149" s="8"/>
      <c r="L149" s="8">
        <v>43277</v>
      </c>
      <c r="M149">
        <v>6</v>
      </c>
      <c r="N149" s="49" t="s">
        <v>57</v>
      </c>
      <c r="O149">
        <v>2018</v>
      </c>
      <c r="P149">
        <v>0.15029999999999999</v>
      </c>
      <c r="Q149" s="10"/>
      <c r="R149" s="11">
        <f>ROUND(Таб[[#This Row],[Зелений Тариф ЕЦ]]+Таб[[#This Row],[Зелений Тариф ЕЦ]]*Таб[[#This Row],[% надбавки]],4)</f>
        <v>0.15029999999999999</v>
      </c>
      <c r="S149" s="12"/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0.19400000000000001</v>
      </c>
      <c r="AK149">
        <v>0.16300000000000001</v>
      </c>
      <c r="AL149">
        <v>0.125</v>
      </c>
      <c r="AM149">
        <v>0.17599999999999999</v>
      </c>
      <c r="AN149">
        <v>0.115</v>
      </c>
      <c r="AO149">
        <v>0.109</v>
      </c>
      <c r="AP149">
        <v>3.9E-2</v>
      </c>
      <c r="AQ149">
        <v>1.2E-2</v>
      </c>
      <c r="AR149">
        <v>3.6999999999999998E-2</v>
      </c>
      <c r="AS149">
        <v>5.3999999999999999E-2</v>
      </c>
      <c r="AT149">
        <v>0.11799999999999999</v>
      </c>
      <c r="AU149">
        <v>0.153</v>
      </c>
      <c r="AV149">
        <v>0.152</v>
      </c>
      <c r="AW149">
        <v>0.18099999999999999</v>
      </c>
      <c r="AX149">
        <v>0.17599999999999999</v>
      </c>
      <c r="AY149">
        <v>0.17100000000000001</v>
      </c>
      <c r="BD1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33.649914344165552</v>
      </c>
      <c r="BE1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58.023899221024472</v>
      </c>
      <c r="BF1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97.890659910299789</v>
      </c>
      <c r="BG1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139.13894200959948</v>
      </c>
      <c r="BH1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171.30865484302461</v>
      </c>
      <c r="BI1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177.62418128885042</v>
      </c>
      <c r="BJ1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180.4859042096152</v>
      </c>
      <c r="BK1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156.01323923204029</v>
      </c>
      <c r="BL1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109.53491179479111</v>
      </c>
      <c r="BM1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70.358911810527957</v>
      </c>
      <c r="BN1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32.564433236289247</v>
      </c>
      <c r="BO1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27.531748099771814</v>
      </c>
      <c r="BP149">
        <f>SUM(Таб[[#This Row],[1]:[12]])</f>
        <v>1254.1254000000001</v>
      </c>
    </row>
    <row r="150" spans="2:68" ht="38.25">
      <c r="B150" t="s">
        <v>384</v>
      </c>
      <c r="C150" t="str">
        <f>IFERROR(VLOOKUP(Таб[[#This Row],[Зелений Тариф ЕЦ]],Sheet6!$H$9:$I$29,2,FALSE),"")</f>
        <v>Земля</v>
      </c>
      <c r="G150" s="1" t="s">
        <v>391</v>
      </c>
      <c r="H150" t="s">
        <v>101</v>
      </c>
      <c r="I150" t="s">
        <v>392</v>
      </c>
      <c r="J150" s="7">
        <v>8.8390000000000004</v>
      </c>
      <c r="K150" s="8"/>
      <c r="L150" s="8">
        <v>43144</v>
      </c>
      <c r="M150">
        <v>2</v>
      </c>
      <c r="N150" s="49" t="s">
        <v>67</v>
      </c>
      <c r="O150">
        <v>2018</v>
      </c>
      <c r="P150">
        <v>0.15029999999999999</v>
      </c>
      <c r="Q150" s="10"/>
      <c r="R150" s="11">
        <f>ROUND(Таб[[#This Row],[Зелений Тариф ЕЦ]]+Таб[[#This Row],[Зелений Тариф ЕЦ]]*Таб[[#This Row],[% надбавки]],4)</f>
        <v>0.15029999999999999</v>
      </c>
      <c r="S150" s="12"/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0.70599999999999996</v>
      </c>
      <c r="AI150">
        <v>1.458</v>
      </c>
      <c r="AJ150">
        <v>1.5109999999999999</v>
      </c>
      <c r="AK150">
        <v>1.431</v>
      </c>
      <c r="AL150">
        <v>1.3320000000000001</v>
      </c>
      <c r="AM150">
        <v>1.33</v>
      </c>
      <c r="AN150">
        <v>0.95399999999999996</v>
      </c>
      <c r="AO150">
        <v>1.05</v>
      </c>
      <c r="AP150">
        <v>0.33300000000000002</v>
      </c>
      <c r="AQ150">
        <v>0.22700000000000001</v>
      </c>
      <c r="AR150">
        <v>0.31900000000000001</v>
      </c>
      <c r="AS150">
        <v>0.52400000000000002</v>
      </c>
      <c r="AT150">
        <v>1.2050000000000001</v>
      </c>
      <c r="AU150">
        <v>1.22</v>
      </c>
      <c r="AV150">
        <v>1.365</v>
      </c>
      <c r="AW150">
        <v>1.419</v>
      </c>
      <c r="AX150">
        <v>1.4550000000000001</v>
      </c>
      <c r="AY150">
        <v>1.45</v>
      </c>
      <c r="BD1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284.62353386419079</v>
      </c>
      <c r="BE1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490.78779446376586</v>
      </c>
      <c r="BF1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827.99573487764576</v>
      </c>
      <c r="BG1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1176.8890989692345</v>
      </c>
      <c r="BH1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1448.9925360358802</v>
      </c>
      <c r="BI1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1502.4116157054059</v>
      </c>
      <c r="BJ1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1526.6171361806596</v>
      </c>
      <c r="BK1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1319.6182024612481</v>
      </c>
      <c r="BL1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926.48716301833349</v>
      </c>
      <c r="BM1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595.12193444330785</v>
      </c>
      <c r="BN1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275.44212954599112</v>
      </c>
      <c r="BO1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232.87380043433788</v>
      </c>
      <c r="BP150">
        <f>SUM(Таб[[#This Row],[1]:[12]])</f>
        <v>10607.860680000002</v>
      </c>
    </row>
    <row r="151" spans="2:68" ht="25.5">
      <c r="B151" t="s">
        <v>384</v>
      </c>
      <c r="C151" t="str">
        <f>IFERROR(VLOOKUP(Таб[[#This Row],[Зелений Тариф ЕЦ]],Sheet6!$H$9:$I$29,2,FALSE),"")</f>
        <v>Земля</v>
      </c>
      <c r="G151" s="1" t="s">
        <v>394</v>
      </c>
      <c r="H151" t="s">
        <v>69</v>
      </c>
      <c r="I151" t="s">
        <v>396</v>
      </c>
      <c r="J151" s="7">
        <v>0.999</v>
      </c>
      <c r="K151" s="8"/>
      <c r="L151" s="8">
        <v>43434</v>
      </c>
      <c r="M151">
        <v>11</v>
      </c>
      <c r="N151" s="49" t="s">
        <v>71</v>
      </c>
      <c r="O151">
        <v>2018</v>
      </c>
      <c r="P151">
        <v>0.15029999999999999</v>
      </c>
      <c r="Q151" s="10"/>
      <c r="R151" s="11">
        <f>ROUND(Таб[[#This Row],[Зелений Тариф ЕЦ]]+Таб[[#This Row],[Зелений Тариф ЕЦ]]*Таб[[#This Row],[% надбавки]],4)</f>
        <v>0.15029999999999999</v>
      </c>
      <c r="S151" s="12"/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BD1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32.16867409552286</v>
      </c>
      <c r="BE1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55.469737150051138</v>
      </c>
      <c r="BF1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93.581597368793766</v>
      </c>
      <c r="BG1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133.01416561491857</v>
      </c>
      <c r="BH1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163.7677953953891</v>
      </c>
      <c r="BI1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169.80531780627902</v>
      </c>
      <c r="BJ1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172.54107014871352</v>
      </c>
      <c r="BK1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149.14567080651506</v>
      </c>
      <c r="BL1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104.71327931387208</v>
      </c>
      <c r="BM1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67.26177310882052</v>
      </c>
      <c r="BN1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31.130974931151155</v>
      </c>
      <c r="BO1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26.319824259973245</v>
      </c>
      <c r="BP151">
        <f>SUM(Таб[[#This Row],[1]:[12]])</f>
        <v>1198.9198800000001</v>
      </c>
    </row>
    <row r="152" spans="2:68" ht="51">
      <c r="B152" t="s">
        <v>384</v>
      </c>
      <c r="C152" t="str">
        <f>IFERROR(VLOOKUP(Таб[[#This Row],[Зелений Тариф ЕЦ]],Sheet6!$H$9:$I$29,2,FALSE),"")</f>
        <v>Земля</v>
      </c>
      <c r="D152" t="s">
        <v>3372</v>
      </c>
      <c r="F152" t="s">
        <v>3287</v>
      </c>
      <c r="G152" s="1" t="s">
        <v>399</v>
      </c>
      <c r="H152" t="s">
        <v>233</v>
      </c>
      <c r="I152" t="s">
        <v>289</v>
      </c>
      <c r="J152" s="7">
        <v>2.903</v>
      </c>
      <c r="K152" s="8"/>
      <c r="L152" s="8">
        <v>41557</v>
      </c>
      <c r="M152">
        <v>10</v>
      </c>
      <c r="N152" s="49" t="s">
        <v>71</v>
      </c>
      <c r="O152">
        <v>2013</v>
      </c>
      <c r="P152">
        <v>0.46529999999999999</v>
      </c>
      <c r="Q152" s="10"/>
      <c r="R152" s="11">
        <f>ROUND(Таб[[#This Row],[Зелений Тариф ЕЦ]]+Таб[[#This Row],[Зелений Тариф ЕЦ]]*Таб[[#This Row],[% надбавки]],4)</f>
        <v>0.46529999999999999</v>
      </c>
      <c r="S152" s="12"/>
      <c r="T152">
        <v>2.1000000000000001E-2</v>
      </c>
      <c r="U152">
        <v>9.799999999999999E-2</v>
      </c>
      <c r="V152">
        <v>0.28700000000000003</v>
      </c>
      <c r="W152">
        <v>0.26900000000000002</v>
      </c>
      <c r="X152">
        <v>0.43199999999999994</v>
      </c>
      <c r="Y152">
        <v>0.43300000000000005</v>
      </c>
      <c r="Z152">
        <v>0.39399999999999991</v>
      </c>
      <c r="AA152">
        <v>0.46400000000000019</v>
      </c>
      <c r="AB152">
        <v>0.29999999999999982</v>
      </c>
      <c r="AC152">
        <v>0.2280000000000002</v>
      </c>
      <c r="AD152">
        <v>0.125</v>
      </c>
      <c r="AE152">
        <v>3.2000000000000028E-2</v>
      </c>
      <c r="AF152">
        <v>8.7999999999999995E-2</v>
      </c>
      <c r="AG152">
        <v>0.157</v>
      </c>
      <c r="AH152">
        <v>0.20499999999999999</v>
      </c>
      <c r="AI152">
        <v>0.39800000000000002</v>
      </c>
      <c r="AJ152">
        <v>0.47</v>
      </c>
      <c r="AK152">
        <v>0.40200000000000002</v>
      </c>
      <c r="AL152">
        <v>0.41799999999999998</v>
      </c>
      <c r="AM152">
        <v>0.46400000000000002</v>
      </c>
      <c r="AN152">
        <v>0.34399999999999997</v>
      </c>
      <c r="AO152">
        <v>0.26200000000000001</v>
      </c>
      <c r="AP152">
        <v>0.16</v>
      </c>
      <c r="AQ152">
        <v>4.4999999999999998E-2</v>
      </c>
      <c r="AR152">
        <v>1.6E-2</v>
      </c>
      <c r="AS152">
        <v>0.191</v>
      </c>
      <c r="AT152">
        <v>0.316</v>
      </c>
      <c r="AU152">
        <v>0.40799999999999997</v>
      </c>
      <c r="AV152">
        <v>0.30499999999999999</v>
      </c>
      <c r="AW152">
        <v>0.46</v>
      </c>
      <c r="AX152">
        <v>0.43099999999999999</v>
      </c>
      <c r="AY152">
        <v>0.42899999999999999</v>
      </c>
      <c r="BD1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93.479140039342212</v>
      </c>
      <c r="BE1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161.18983678338185</v>
      </c>
      <c r="BF1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271.93931647808643</v>
      </c>
      <c r="BG1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386.52664942953811</v>
      </c>
      <c r="BH1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475.89380383665122</v>
      </c>
      <c r="BI1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493.43827586749546</v>
      </c>
      <c r="BJ1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501.38811475647174</v>
      </c>
      <c r="BK1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433.40328563695016</v>
      </c>
      <c r="BL1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304.28693678495551</v>
      </c>
      <c r="BM1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195.45638371862458</v>
      </c>
      <c r="BN1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90.463683909040853</v>
      </c>
      <c r="BO1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76.482932759461804</v>
      </c>
      <c r="BP152">
        <f>SUM(Таб[[#This Row],[1]:[12]])</f>
        <v>3483.9483599999999</v>
      </c>
    </row>
    <row r="153" spans="2:68" ht="51">
      <c r="B153" t="s">
        <v>384</v>
      </c>
      <c r="C153" t="str">
        <f>IFERROR(VLOOKUP(Таб[[#This Row],[Зелений Тариф ЕЦ]],Sheet6!$H$9:$I$29,2,FALSE),"")</f>
        <v>Земля</v>
      </c>
      <c r="D153" t="s">
        <v>3372</v>
      </c>
      <c r="F153" t="s">
        <v>3287</v>
      </c>
      <c r="G153" s="1" t="s">
        <v>399</v>
      </c>
      <c r="H153" t="s">
        <v>233</v>
      </c>
      <c r="I153" t="s">
        <v>404</v>
      </c>
      <c r="J153" s="7">
        <v>5.7750000000000004</v>
      </c>
      <c r="K153" s="8"/>
      <c r="L153" s="8">
        <v>43455</v>
      </c>
      <c r="M153">
        <v>12</v>
      </c>
      <c r="N153" s="49" t="s">
        <v>71</v>
      </c>
      <c r="O153">
        <v>2018</v>
      </c>
      <c r="P153">
        <v>0.15029999999999999</v>
      </c>
      <c r="Q153" s="10"/>
      <c r="R153" s="11">
        <f>ROUND(Таб[[#This Row],[Зелений Тариф ЕЦ]]+Таб[[#This Row],[Зелений Тариф ЕЦ]]*Таб[[#This Row],[% надбавки]],4)</f>
        <v>0.15029999999999999</v>
      </c>
      <c r="S153" s="12"/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8.1000000000000003E-2</v>
      </c>
      <c r="AR153">
        <v>7.2999999999999995E-2</v>
      </c>
      <c r="AS153">
        <v>0.38400000000000001</v>
      </c>
      <c r="AT153">
        <v>0.65</v>
      </c>
      <c r="AU153">
        <v>0.51600000000000001</v>
      </c>
      <c r="AV153">
        <v>0.56499999999999995</v>
      </c>
      <c r="AW153">
        <v>1.008</v>
      </c>
      <c r="AX153">
        <v>0.93899999999999995</v>
      </c>
      <c r="AY153">
        <v>0.89800000000000002</v>
      </c>
      <c r="BD1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185.96005295459915</v>
      </c>
      <c r="BE1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320.65839043197741</v>
      </c>
      <c r="BF1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540.97469950428831</v>
      </c>
      <c r="BG1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768.92573215831294</v>
      </c>
      <c r="BH1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946.70572413250466</v>
      </c>
      <c r="BI1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981.60731764891034</v>
      </c>
      <c r="BJ1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997.42210221103164</v>
      </c>
      <c r="BK1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862.17842733495968</v>
      </c>
      <c r="BL1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605.32451255016144</v>
      </c>
      <c r="BM1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388.82556526870724</v>
      </c>
      <c r="BN1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179.9613415689669</v>
      </c>
      <c r="BO1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152.1491342355811</v>
      </c>
      <c r="BP153">
        <f>SUM(Таб[[#This Row],[1]:[12]])</f>
        <v>6930.693000000002</v>
      </c>
    </row>
    <row r="154" spans="2:68" ht="38.25">
      <c r="B154" t="s">
        <v>384</v>
      </c>
      <c r="C154" t="str">
        <f>IFERROR(VLOOKUP(Таб[[#This Row],[Зелений Тариф ЕЦ]],Sheet6!$H$9:$I$29,2,FALSE),"")</f>
        <v>Земля</v>
      </c>
      <c r="G154" s="1" t="s">
        <v>407</v>
      </c>
      <c r="H154" t="s">
        <v>122</v>
      </c>
      <c r="I154" t="s">
        <v>369</v>
      </c>
      <c r="J154" s="7">
        <v>1.1339999999999999</v>
      </c>
      <c r="K154" s="8"/>
      <c r="L154" s="8">
        <v>43333</v>
      </c>
      <c r="M154">
        <v>8</v>
      </c>
      <c r="N154" s="49" t="s">
        <v>60</v>
      </c>
      <c r="O154">
        <v>2018</v>
      </c>
      <c r="P154">
        <v>0.15029999999999999</v>
      </c>
      <c r="Q154" s="10"/>
      <c r="R154" s="11">
        <f>ROUND(Таб[[#This Row],[Зелений Тариф ЕЦ]]+Таб[[#This Row],[Зелений Тариф ЕЦ]]*Таб[[#This Row],[% надбавки]],4)</f>
        <v>0.15029999999999999</v>
      </c>
      <c r="S154" s="12"/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0.128</v>
      </c>
      <c r="AO154">
        <v>0.121</v>
      </c>
      <c r="AP154">
        <v>4.8000000000000001E-2</v>
      </c>
      <c r="AQ154">
        <v>0.01</v>
      </c>
      <c r="AR154">
        <v>0.01</v>
      </c>
      <c r="AS154">
        <v>5.2999999999999999E-2</v>
      </c>
      <c r="AT154">
        <v>0.121</v>
      </c>
      <c r="AU154">
        <v>0.16500000000000001</v>
      </c>
      <c r="AV154">
        <v>0.161</v>
      </c>
      <c r="AW154">
        <v>0.188</v>
      </c>
      <c r="AX154">
        <v>0.19600000000000001</v>
      </c>
      <c r="AY154">
        <v>0.17799999999999999</v>
      </c>
      <c r="BD1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36.515792216539467</v>
      </c>
      <c r="BE1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62.965647575733726</v>
      </c>
      <c r="BF1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106.22775917538752</v>
      </c>
      <c r="BG1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150.98905286017782</v>
      </c>
      <c r="BH1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185.89857855692813</v>
      </c>
      <c r="BI1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192.75198237469507</v>
      </c>
      <c r="BJ1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195.85743097962074</v>
      </c>
      <c r="BK1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169.30049118577386</v>
      </c>
      <c r="BL1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118.86372246439529</v>
      </c>
      <c r="BM1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76.351201907309772</v>
      </c>
      <c r="BN1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35.337863435360774</v>
      </c>
      <c r="BO1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29.87655726807774</v>
      </c>
      <c r="BP154">
        <f>SUM(Таб[[#This Row],[1]:[12]])</f>
        <v>1360.9360799999999</v>
      </c>
    </row>
    <row r="155" spans="2:68" ht="38.25">
      <c r="B155" t="s">
        <v>384</v>
      </c>
      <c r="C155" t="str">
        <f>IFERROR(VLOOKUP(Таб[[#This Row],[Зелений Тариф ЕЦ]],Sheet6!$H$9:$I$29,2,FALSE),"")</f>
        <v>Земля</v>
      </c>
      <c r="G155" s="1" t="s">
        <v>407</v>
      </c>
      <c r="H155" t="s">
        <v>122</v>
      </c>
      <c r="I155" t="s">
        <v>369</v>
      </c>
      <c r="J155" s="7">
        <v>1.17</v>
      </c>
      <c r="K155" s="8"/>
      <c r="L155" s="8">
        <v>43543</v>
      </c>
      <c r="M155">
        <v>3</v>
      </c>
      <c r="N155" s="49" t="s">
        <v>67</v>
      </c>
      <c r="O155">
        <v>2019</v>
      </c>
      <c r="P155">
        <v>0.15029999999999999</v>
      </c>
      <c r="Q155" s="10"/>
      <c r="R155" s="11">
        <f>ROUND(Таб[[#This Row],[Зелений Тариф ЕЦ]]+Таб[[#This Row],[Зелений Тариф ЕЦ]]*Таб[[#This Row],[% надбавки]],4)</f>
        <v>0.15029999999999999</v>
      </c>
      <c r="S155" s="12"/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0.16700000000000001</v>
      </c>
      <c r="AV155">
        <v>0.17199999999999999</v>
      </c>
      <c r="AW155">
        <v>0.2</v>
      </c>
      <c r="AX155">
        <v>0.20200000000000001</v>
      </c>
      <c r="AY155">
        <v>0.182</v>
      </c>
      <c r="BD1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37.675023715477224</v>
      </c>
      <c r="BE1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64.964557022582426</v>
      </c>
      <c r="BF1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109.60006899047917</v>
      </c>
      <c r="BG1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155.78235612558029</v>
      </c>
      <c r="BH1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191.80012073333859</v>
      </c>
      <c r="BI1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198.87109292627272</v>
      </c>
      <c r="BJ1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202.07512720119601</v>
      </c>
      <c r="BK1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174.6751099535762</v>
      </c>
      <c r="BL1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122.63717397120152</v>
      </c>
      <c r="BM1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78.775049586906903</v>
      </c>
      <c r="BN1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36.459700369816666</v>
      </c>
      <c r="BO1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30.825019403572277</v>
      </c>
      <c r="BP155">
        <f>SUM(Таб[[#This Row],[1]:[12]])</f>
        <v>1404.1403999999995</v>
      </c>
    </row>
    <row r="156" spans="2:68" ht="38.25">
      <c r="B156" t="s">
        <v>384</v>
      </c>
      <c r="C156" t="str">
        <f>IFERROR(VLOOKUP(Таб[[#This Row],[Зелений Тариф ЕЦ]],Sheet6!$H$9:$I$29,2,FALSE),"")</f>
        <v>Земля</v>
      </c>
      <c r="G156" s="1" t="s">
        <v>413</v>
      </c>
      <c r="H156" t="s">
        <v>198</v>
      </c>
      <c r="J156" s="7">
        <v>1.623</v>
      </c>
      <c r="K156" s="8"/>
      <c r="L156" s="8">
        <v>41061</v>
      </c>
      <c r="M156">
        <v>6</v>
      </c>
      <c r="N156" s="49" t="s">
        <v>57</v>
      </c>
      <c r="O156">
        <v>2012</v>
      </c>
      <c r="P156">
        <v>0.46529999999999999</v>
      </c>
      <c r="Q156" s="10"/>
      <c r="R156" s="11">
        <f>ROUND(Таб[[#This Row],[Зелений Тариф ЕЦ]]+Таб[[#This Row],[Зелений Тариф ЕЦ]]*Таб[[#This Row],[% надбавки]],4)</f>
        <v>0.46529999999999999</v>
      </c>
      <c r="S156" s="12"/>
      <c r="T156">
        <v>4.2000000000000003E-2</v>
      </c>
      <c r="U156">
        <v>8.0999999999999989E-2</v>
      </c>
      <c r="V156">
        <v>0.14300000000000002</v>
      </c>
      <c r="W156">
        <v>0.20399999999999996</v>
      </c>
      <c r="X156">
        <v>0.248</v>
      </c>
      <c r="Y156">
        <v>0.26300000000000001</v>
      </c>
      <c r="Z156">
        <v>0.26400000000000012</v>
      </c>
      <c r="AA156">
        <v>0.24099999999999988</v>
      </c>
      <c r="AB156">
        <v>0.18300000000000005</v>
      </c>
      <c r="AC156">
        <v>8.3999999999999853E-2</v>
      </c>
      <c r="AD156">
        <v>3.8000000000000034E-2</v>
      </c>
      <c r="AE156">
        <v>2.3000000000000131E-2</v>
      </c>
      <c r="AF156">
        <v>2.8000000000000001E-2</v>
      </c>
      <c r="AG156">
        <v>5.8999999999999997E-2</v>
      </c>
      <c r="AH156">
        <v>0.115</v>
      </c>
      <c r="AI156">
        <v>0.23400000000000001</v>
      </c>
      <c r="AJ156">
        <v>0.27600000000000002</v>
      </c>
      <c r="AK156">
        <v>0.24099999999999999</v>
      </c>
      <c r="AL156">
        <v>0.23100000000000001</v>
      </c>
      <c r="AM156">
        <v>0.27200000000000002</v>
      </c>
      <c r="AN156">
        <v>0.16700000000000001</v>
      </c>
      <c r="AO156">
        <v>0.14599999999999999</v>
      </c>
      <c r="AP156">
        <v>3.5999999999999997E-2</v>
      </c>
      <c r="AQ156">
        <v>1.7000000000000001E-2</v>
      </c>
      <c r="AR156">
        <v>1.6E-2</v>
      </c>
      <c r="AS156">
        <v>6.5000000000000002E-2</v>
      </c>
      <c r="AT156">
        <v>0.13600000000000001</v>
      </c>
      <c r="AU156">
        <v>0.18099999999999999</v>
      </c>
      <c r="AV156">
        <v>0.21</v>
      </c>
      <c r="AW156">
        <v>0.26800000000000002</v>
      </c>
      <c r="AX156">
        <v>0.23699999999999999</v>
      </c>
      <c r="AY156">
        <v>0.246</v>
      </c>
      <c r="BD1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52.262020077110712</v>
      </c>
      <c r="BE1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90.117500895428435</v>
      </c>
      <c r="BF1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152.03496749704934</v>
      </c>
      <c r="BG1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216.09808888189471</v>
      </c>
      <c r="BH1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266.06119311983639</v>
      </c>
      <c r="BI1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275.86990070029117</v>
      </c>
      <c r="BJ1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280.31447132268471</v>
      </c>
      <c r="BK1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242.30572944842237</v>
      </c>
      <c r="BL1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170.1197720985129</v>
      </c>
      <c r="BM1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109.2751328885042</v>
      </c>
      <c r="BN1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50.576148461720038</v>
      </c>
      <c r="BO1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42.759834608545127</v>
      </c>
      <c r="BP156">
        <f>SUM(Таб[[#This Row],[1]:[12]])</f>
        <v>1947.7947600000002</v>
      </c>
    </row>
    <row r="157" spans="2:68" ht="63.75">
      <c r="B157" t="s">
        <v>384</v>
      </c>
      <c r="C157" t="str">
        <f>IFERROR(VLOOKUP(Таб[[#This Row],[Зелений Тариф ЕЦ]],Sheet6!$H$9:$I$29,2,FALSE),"")</f>
        <v>Земля</v>
      </c>
      <c r="G157" s="1" t="s">
        <v>416</v>
      </c>
      <c r="H157" t="s">
        <v>98</v>
      </c>
      <c r="I157" t="s">
        <v>417</v>
      </c>
      <c r="J157" s="7">
        <v>5.7679999999999998</v>
      </c>
      <c r="K157" s="8"/>
      <c r="L157" s="8">
        <v>43403</v>
      </c>
      <c r="M157">
        <v>10</v>
      </c>
      <c r="N157" s="49" t="s">
        <v>71</v>
      </c>
      <c r="O157">
        <v>2018</v>
      </c>
      <c r="P157">
        <v>0.15029999999999999</v>
      </c>
      <c r="Q157" s="10"/>
      <c r="R157" s="11">
        <f>ROUND(Таб[[#This Row],[Зелений Тариф ЕЦ]]+Таб[[#This Row],[Зелений Тариф ЕЦ]]*Таб[[#This Row],[% надбавки]],4)</f>
        <v>0.15029999999999999</v>
      </c>
      <c r="S157" s="12"/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4.8000000000000001E-2</v>
      </c>
      <c r="AR157">
        <v>9.2999999999999999E-2</v>
      </c>
      <c r="AS157">
        <v>0.35899999999999999</v>
      </c>
      <c r="AT157">
        <v>0.56699999999999995</v>
      </c>
      <c r="AU157">
        <v>0.73099999999999998</v>
      </c>
      <c r="AV157">
        <v>0.61699999999999999</v>
      </c>
      <c r="AW157">
        <v>0.90900000000000003</v>
      </c>
      <c r="AX157">
        <v>0.88700000000000001</v>
      </c>
      <c r="AY157">
        <v>0.86699999999999999</v>
      </c>
      <c r="BD1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185.73464682980568</v>
      </c>
      <c r="BE1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320.26971359509014</v>
      </c>
      <c r="BF1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540.3189725957983</v>
      </c>
      <c r="BG1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767.99370096781809</v>
      </c>
      <c r="BH1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945.55820204264705</v>
      </c>
      <c r="BI1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980.41749059721451</v>
      </c>
      <c r="BJ1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996.21310572350285</v>
      </c>
      <c r="BK1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861.13336257455353</v>
      </c>
      <c r="BL1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604.5907858682823</v>
      </c>
      <c r="BM1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388.35426155323</v>
      </c>
      <c r="BN1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179.74320660948936</v>
      </c>
      <c r="BO1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151.96471104256827</v>
      </c>
      <c r="BP157">
        <f>SUM(Таб[[#This Row],[1]:[12]])</f>
        <v>6922.2921600000009</v>
      </c>
    </row>
    <row r="158" spans="2:68" ht="63.75">
      <c r="B158" t="s">
        <v>384</v>
      </c>
      <c r="C158" t="str">
        <f>IFERROR(VLOOKUP(Таб[[#This Row],[Зелений Тариф ЕЦ]],Sheet6!$H$9:$I$29,2,FALSE),"")</f>
        <v>Земля</v>
      </c>
      <c r="G158" s="1" t="s">
        <v>419</v>
      </c>
      <c r="H158" t="s">
        <v>185</v>
      </c>
      <c r="I158" t="s">
        <v>253</v>
      </c>
      <c r="J158" s="7">
        <v>3.88</v>
      </c>
      <c r="K158" s="8"/>
      <c r="L158" s="8">
        <v>43543</v>
      </c>
      <c r="M158">
        <v>3</v>
      </c>
      <c r="N158" s="49" t="s">
        <v>67</v>
      </c>
      <c r="O158">
        <v>2019</v>
      </c>
      <c r="P158">
        <v>0.15029999999999999</v>
      </c>
      <c r="Q158" s="10"/>
      <c r="R158" s="11">
        <f>ROUND(Таб[[#This Row],[Зелений Тариф ЕЦ]]+Таб[[#This Row],[Зелений Тариф ЕЦ]]*Таб[[#This Row],[% надбавки]],4)</f>
        <v>0.15029999999999999</v>
      </c>
      <c r="S158" s="12"/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0.629</v>
      </c>
      <c r="AV158">
        <v>0.68600000000000005</v>
      </c>
      <c r="AW158">
        <v>0.746</v>
      </c>
      <c r="AX158">
        <v>0.75</v>
      </c>
      <c r="AY158">
        <v>0.69699999999999995</v>
      </c>
      <c r="BD1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124.93939488551423</v>
      </c>
      <c r="BE1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215.43801816035878</v>
      </c>
      <c r="BF1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363.46005784876854</v>
      </c>
      <c r="BG1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516.61157416004403</v>
      </c>
      <c r="BH1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636.05510123534498</v>
      </c>
      <c r="BI1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659.50413722558812</v>
      </c>
      <c r="BJ1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670.12948165866715</v>
      </c>
      <c r="BK1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579.26446719647493</v>
      </c>
      <c r="BL1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406.69421795577938</v>
      </c>
      <c r="BM1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261.23691657880238</v>
      </c>
      <c r="BN1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120.90909182469119</v>
      </c>
      <c r="BO1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102.22314126996619</v>
      </c>
      <c r="BP158">
        <f>SUM(Таб[[#This Row],[1]:[12]])</f>
        <v>4656.4656000000004</v>
      </c>
    </row>
    <row r="159" spans="2:68" ht="63.75">
      <c r="B159" t="s">
        <v>384</v>
      </c>
      <c r="C159" t="str">
        <f>IFERROR(VLOOKUP(Таб[[#This Row],[Зелений Тариф ЕЦ]],Sheet6!$H$9:$I$29,2,FALSE),"")</f>
        <v>Земля</v>
      </c>
      <c r="G159" s="1" t="s">
        <v>422</v>
      </c>
      <c r="H159" t="s">
        <v>65</v>
      </c>
      <c r="I159" t="s">
        <v>424</v>
      </c>
      <c r="J159" s="7">
        <v>2.3319999999999999</v>
      </c>
      <c r="K159" s="8"/>
      <c r="L159" s="8">
        <v>43613</v>
      </c>
      <c r="M159">
        <v>5</v>
      </c>
      <c r="N159" s="49" t="s">
        <v>57</v>
      </c>
      <c r="O159">
        <v>2019</v>
      </c>
      <c r="P159">
        <v>0.15029999999999999</v>
      </c>
      <c r="Q159" s="10"/>
      <c r="R159" s="11">
        <f>ROUND(Таб[[#This Row],[Зелений Тариф ЕЦ]]+Таб[[#This Row],[Зелений Тариф ЕЦ]]*Таб[[#This Row],[% надбавки]],4)</f>
        <v>0.15029999999999999</v>
      </c>
      <c r="S159" s="12"/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0.34799999999999998</v>
      </c>
      <c r="AX159">
        <v>0.36799999999999999</v>
      </c>
      <c r="AY159">
        <v>0.35199999999999998</v>
      </c>
      <c r="BD1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75.092440431190496</v>
      </c>
      <c r="BE1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129.48491194586515</v>
      </c>
      <c r="BF1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218.45073579982687</v>
      </c>
      <c r="BG1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310.49953374773781</v>
      </c>
      <c r="BH1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382.28878764969704</v>
      </c>
      <c r="BI1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396.38238350775038</v>
      </c>
      <c r="BJ1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402.76854413093082</v>
      </c>
      <c r="BK1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348.15586018097406</v>
      </c>
      <c r="BL1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244.43580316311278</v>
      </c>
      <c r="BM1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157.01146635612554</v>
      </c>
      <c r="BN1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72.670103643087586</v>
      </c>
      <c r="BO1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61.439269443701313</v>
      </c>
      <c r="BP159">
        <f>SUM(Таб[[#This Row],[1]:[12]])</f>
        <v>2798.6798400000002</v>
      </c>
    </row>
    <row r="160" spans="2:68" ht="25.5">
      <c r="B160" t="s">
        <v>384</v>
      </c>
      <c r="C160" t="str">
        <f>IFERROR(VLOOKUP(Таб[[#This Row],[Зелений Тариф ЕЦ]],Sheet6!$H$9:$I$29,2,FALSE),"")</f>
        <v>Земля</v>
      </c>
      <c r="G160" s="1" t="s">
        <v>427</v>
      </c>
      <c r="H160" t="s">
        <v>172</v>
      </c>
      <c r="I160" t="s">
        <v>429</v>
      </c>
      <c r="J160" s="7">
        <v>3.1070000000000002</v>
      </c>
      <c r="K160" s="8"/>
      <c r="L160" s="8">
        <v>43300</v>
      </c>
      <c r="M160">
        <v>7</v>
      </c>
      <c r="N160" s="49" t="s">
        <v>60</v>
      </c>
      <c r="O160">
        <v>2018</v>
      </c>
      <c r="P160">
        <v>0.15029999999999999</v>
      </c>
      <c r="Q160" s="10"/>
      <c r="R160" s="11">
        <f>ROUND(Таб[[#This Row],[Зелений Тариф ЕЦ]]+Таб[[#This Row],[Зелений Тариф ЕЦ]]*Таб[[#This Row],[% надбавки]],4)</f>
        <v>0.15029999999999999</v>
      </c>
      <c r="S160" s="12"/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0.13500000000000001</v>
      </c>
      <c r="AN160">
        <v>0.33600000000000002</v>
      </c>
      <c r="AO160">
        <v>0.32500000000000001</v>
      </c>
      <c r="AP160">
        <v>7.9000000000000001E-2</v>
      </c>
      <c r="AQ160">
        <v>2.5000000000000001E-2</v>
      </c>
      <c r="AR160">
        <v>0.03</v>
      </c>
      <c r="AS160">
        <v>0.27400000000000002</v>
      </c>
      <c r="AT160">
        <v>0.59</v>
      </c>
      <c r="AU160">
        <v>0.84599999999999997</v>
      </c>
      <c r="AV160">
        <v>0.79500000000000004</v>
      </c>
      <c r="AW160">
        <v>0.997</v>
      </c>
      <c r="AX160">
        <v>1.006</v>
      </c>
      <c r="AY160">
        <v>0.83599999999999997</v>
      </c>
      <c r="BD1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100.04811853332288</v>
      </c>
      <c r="BE1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172.51699031552445</v>
      </c>
      <c r="BF1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291.0490720969392</v>
      </c>
      <c r="BG1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413.68870126681878</v>
      </c>
      <c r="BH1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509.3358761696436</v>
      </c>
      <c r="BI1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528.11323565976863</v>
      </c>
      <c r="BJ1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536.62172667873165</v>
      </c>
      <c r="BK1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463.85945865449685</v>
      </c>
      <c r="BL1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325.66982865685742</v>
      </c>
      <c r="BM1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209.19152056967505</v>
      </c>
      <c r="BN1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96.820759870957602</v>
      </c>
      <c r="BO1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81.85755152726415</v>
      </c>
      <c r="BP160">
        <f>SUM(Таб[[#This Row],[1]:[12]])</f>
        <v>3728.7728400000005</v>
      </c>
    </row>
    <row r="161" spans="2:68" ht="25.5">
      <c r="B161" t="s">
        <v>384</v>
      </c>
      <c r="C161" t="str">
        <f>IFERROR(VLOOKUP(Таб[[#This Row],[Зелений Тариф ЕЦ]],Sheet6!$H$9:$I$29,2,FALSE),"")</f>
        <v>Земля</v>
      </c>
      <c r="G161" s="1" t="s">
        <v>427</v>
      </c>
      <c r="H161" t="s">
        <v>172</v>
      </c>
      <c r="I161" t="s">
        <v>429</v>
      </c>
      <c r="J161" s="7">
        <v>3.1760000000000002</v>
      </c>
      <c r="K161" s="8"/>
      <c r="L161" s="8">
        <v>43455</v>
      </c>
      <c r="M161">
        <v>12</v>
      </c>
      <c r="N161" s="49" t="s">
        <v>71</v>
      </c>
      <c r="O161">
        <v>2018</v>
      </c>
      <c r="P161">
        <v>0.15029999999999999</v>
      </c>
      <c r="Q161" s="10"/>
      <c r="R161" s="11">
        <f>ROUND(Таб[[#This Row],[Зелений Тариф ЕЦ]]+Таб[[#This Row],[Зелений Тариф ЕЦ]]*Таб[[#This Row],[% надбавки]],4)</f>
        <v>0.15029999999999999</v>
      </c>
      <c r="S161" s="12"/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BD1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102.26997890628691</v>
      </c>
      <c r="BE1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176.34823342198445</v>
      </c>
      <c r="BF1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297.51266590919823</v>
      </c>
      <c r="BG1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422.87586585884026</v>
      </c>
      <c r="BH1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520.64716534109698</v>
      </c>
      <c r="BI1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539.84153088362586</v>
      </c>
      <c r="BJ1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548.53897777008422</v>
      </c>
      <c r="BK1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474.16081129278473</v>
      </c>
      <c r="BL1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332.90227737823596</v>
      </c>
      <c r="BM1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213.83722862223618</v>
      </c>
      <c r="BN1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98.970947328664735</v>
      </c>
      <c r="BO1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83.675437286962008</v>
      </c>
      <c r="BP161">
        <f>SUM(Таб[[#This Row],[1]:[12]])</f>
        <v>3811.5811200000003</v>
      </c>
    </row>
    <row r="162" spans="2:68" ht="114.75">
      <c r="B162" t="s">
        <v>384</v>
      </c>
      <c r="C162" t="str">
        <f>IFERROR(VLOOKUP(Таб[[#This Row],[Зелений Тариф ЕЦ]],Sheet6!$H$9:$I$29,2,FALSE),"")</f>
        <v>Земля</v>
      </c>
      <c r="G162" s="1" t="s">
        <v>433</v>
      </c>
      <c r="H162" t="s">
        <v>136</v>
      </c>
      <c r="I162" t="s">
        <v>66</v>
      </c>
      <c r="J162" s="7">
        <v>4.95</v>
      </c>
      <c r="K162" s="8"/>
      <c r="L162" s="8">
        <v>43508</v>
      </c>
      <c r="M162">
        <v>2</v>
      </c>
      <c r="N162" s="49" t="s">
        <v>67</v>
      </c>
      <c r="O162">
        <v>2019</v>
      </c>
      <c r="P162">
        <v>0.15029999999999999</v>
      </c>
      <c r="Q162" s="10"/>
      <c r="R162" s="11">
        <f>ROUND(Таб[[#This Row],[Зелений Тариф ЕЦ]]+Таб[[#This Row],[Зелений Тариф ЕЦ]]*Таб[[#This Row],[% надбавки]],4)</f>
        <v>0.15029999999999999</v>
      </c>
      <c r="S162" s="12"/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0.49099999999999999</v>
      </c>
      <c r="AU162">
        <v>0.65400000000000003</v>
      </c>
      <c r="AV162">
        <v>0.70299999999999996</v>
      </c>
      <c r="AW162">
        <v>0.80700000000000005</v>
      </c>
      <c r="AX162">
        <v>0.57399999999999995</v>
      </c>
      <c r="AY162">
        <v>0.78700000000000003</v>
      </c>
      <c r="BD1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159.39433110394214</v>
      </c>
      <c r="BE1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274.85004894169487</v>
      </c>
      <c r="BF1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463.69259957510428</v>
      </c>
      <c r="BG1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659.07919899283979</v>
      </c>
      <c r="BH1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811.46204925643246</v>
      </c>
      <c r="BI1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841.37770084192312</v>
      </c>
      <c r="BJ1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854.9332304665985</v>
      </c>
      <c r="BK1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739.01008057282252</v>
      </c>
      <c r="BL1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518.84958218585257</v>
      </c>
      <c r="BM1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333.27905594460617</v>
      </c>
      <c r="BN1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154.25257848768592</v>
      </c>
      <c r="BO1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130.41354363049805</v>
      </c>
      <c r="BP162">
        <f>SUM(Таб[[#This Row],[1]:[12]])</f>
        <v>5940.594000000001</v>
      </c>
    </row>
    <row r="163" spans="2:68" ht="51">
      <c r="B163" t="s">
        <v>384</v>
      </c>
      <c r="C163" t="str">
        <f>IFERROR(VLOOKUP(Таб[[#This Row],[Зелений Тариф ЕЦ]],Sheet6!$H$9:$I$29,2,FALSE),"")</f>
        <v>Земля</v>
      </c>
      <c r="G163" s="1" t="s">
        <v>437</v>
      </c>
      <c r="H163" t="s">
        <v>198</v>
      </c>
      <c r="I163" t="s">
        <v>439</v>
      </c>
      <c r="J163" s="7">
        <v>0.29899999999999999</v>
      </c>
      <c r="K163" s="8"/>
      <c r="L163" s="8">
        <v>42905</v>
      </c>
      <c r="M163">
        <v>6</v>
      </c>
      <c r="N163" s="49" t="s">
        <v>57</v>
      </c>
      <c r="O163">
        <v>2017</v>
      </c>
      <c r="P163">
        <v>0.15029999999999999</v>
      </c>
      <c r="Q163" s="10"/>
      <c r="R163" s="11">
        <f>ROUND(Таб[[#This Row],[Зелений Тариф ЕЦ]]+Таб[[#This Row],[Зелений Тариф ЕЦ]]*Таб[[#This Row],[% надбавки]],4)</f>
        <v>0.15029999999999999</v>
      </c>
      <c r="S163" s="12"/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2.1999999999999999E-2</v>
      </c>
      <c r="AC163">
        <v>1.8000000000000002E-2</v>
      </c>
      <c r="AD163">
        <v>1.1999999999999997E-2</v>
      </c>
      <c r="AE163">
        <v>1.6000000000000007E-2</v>
      </c>
      <c r="AF163">
        <v>6.6000000000000003E-2</v>
      </c>
      <c r="AG163">
        <v>0.113</v>
      </c>
      <c r="AH163">
        <v>0.222</v>
      </c>
      <c r="AI163">
        <v>0.44600000000000001</v>
      </c>
      <c r="AJ163">
        <v>0.50600000000000001</v>
      </c>
      <c r="AK163">
        <v>0.434</v>
      </c>
      <c r="AL163">
        <v>0.41199999999999998</v>
      </c>
      <c r="AM163">
        <v>0.49399999999999999</v>
      </c>
      <c r="AN163">
        <v>0.311</v>
      </c>
      <c r="AO163">
        <v>0.28599999999999998</v>
      </c>
      <c r="AP163">
        <v>6.7000000000000004E-2</v>
      </c>
      <c r="AQ163">
        <v>3.5000000000000003E-2</v>
      </c>
      <c r="AR163">
        <v>0.03</v>
      </c>
      <c r="AS163">
        <v>0.126</v>
      </c>
      <c r="AT163">
        <v>0.246</v>
      </c>
      <c r="AU163">
        <v>0.36299999999999999</v>
      </c>
      <c r="AV163">
        <v>0.39400000000000002</v>
      </c>
      <c r="AW163">
        <v>0.47699999999999998</v>
      </c>
      <c r="AX163">
        <v>0.437</v>
      </c>
      <c r="AY163">
        <v>0.45200000000000001</v>
      </c>
      <c r="BD1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9.6280616161775132</v>
      </c>
      <c r="BE1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16.602053461326619</v>
      </c>
      <c r="BF1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28.008906519789122</v>
      </c>
      <c r="BG1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39.811046565426075</v>
      </c>
      <c r="BH1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49.01558640963097</v>
      </c>
      <c r="BI1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50.82261263671414</v>
      </c>
      <c r="BJ1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51.641421395861201</v>
      </c>
      <c r="BK1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44.639194765913921</v>
      </c>
      <c r="BL1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31.340611125973723</v>
      </c>
      <c r="BM1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20.131401561098432</v>
      </c>
      <c r="BN1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9.317478983397594</v>
      </c>
      <c r="BO1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7.8775049586906913</v>
      </c>
      <c r="BP163">
        <f>SUM(Таб[[#This Row],[1]:[12]])</f>
        <v>358.83588000000003</v>
      </c>
    </row>
    <row r="164" spans="2:68" ht="51">
      <c r="B164" t="s">
        <v>384</v>
      </c>
      <c r="C164" t="str">
        <f>IFERROR(VLOOKUP(Таб[[#This Row],[Зелений Тариф ЕЦ]],Sheet6!$H$9:$I$29,2,FALSE),"")</f>
        <v>Земля</v>
      </c>
      <c r="G164" s="1" t="s">
        <v>437</v>
      </c>
      <c r="H164" t="s">
        <v>198</v>
      </c>
      <c r="I164" t="s">
        <v>439</v>
      </c>
      <c r="J164" s="7">
        <v>1.117</v>
      </c>
      <c r="K164" s="8"/>
      <c r="L164" s="8">
        <v>43096</v>
      </c>
      <c r="M164">
        <v>12</v>
      </c>
      <c r="N164" s="49" t="s">
        <v>71</v>
      </c>
      <c r="O164">
        <v>2017</v>
      </c>
      <c r="P164">
        <v>0.15029999999999999</v>
      </c>
      <c r="Q164" s="10"/>
      <c r="R164" s="11">
        <f>ROUND(Таб[[#This Row],[Зелений Тариф ЕЦ]]+Таб[[#This Row],[Зелений Тариф ЕЦ]]*Таб[[#This Row],[% надбавки]],4)</f>
        <v>0.15029999999999999</v>
      </c>
      <c r="S164" s="12"/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1.4999999999999999E-2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BD1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35.96837734204108</v>
      </c>
      <c r="BE1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62.02171811472185</v>
      </c>
      <c r="BF1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104.63527954048311</v>
      </c>
      <c r="BG1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148.72554854040442</v>
      </c>
      <c r="BH1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183.11173919584547</v>
      </c>
      <c r="BI1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189.86240239200566</v>
      </c>
      <c r="BJ1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192.9212966527657</v>
      </c>
      <c r="BK1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166.76247676764496</v>
      </c>
      <c r="BL1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117.08181480840349</v>
      </c>
      <c r="BM1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75.206607169722233</v>
      </c>
      <c r="BN1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34.808107105201046</v>
      </c>
      <c r="BO1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29.428672370760879</v>
      </c>
      <c r="BP164">
        <f>SUM(Таб[[#This Row],[1]:[12]])</f>
        <v>1340.5340400000002</v>
      </c>
    </row>
    <row r="165" spans="2:68" ht="51">
      <c r="B165" t="s">
        <v>384</v>
      </c>
      <c r="C165" t="str">
        <f>IFERROR(VLOOKUP(Таб[[#This Row],[Зелений Тариф ЕЦ]],Sheet6!$H$9:$I$29,2,FALSE),"")</f>
        <v>Земля</v>
      </c>
      <c r="G165" s="1" t="s">
        <v>437</v>
      </c>
      <c r="H165" t="s">
        <v>198</v>
      </c>
      <c r="I165" t="s">
        <v>439</v>
      </c>
      <c r="J165" s="7">
        <v>1.4279999999999999</v>
      </c>
      <c r="K165" s="8"/>
      <c r="L165" s="8">
        <v>43111</v>
      </c>
      <c r="M165">
        <v>1</v>
      </c>
      <c r="N165" s="49" t="s">
        <v>67</v>
      </c>
      <c r="O165">
        <v>2018</v>
      </c>
      <c r="P165">
        <v>0.15029999999999999</v>
      </c>
      <c r="Q165" s="10"/>
      <c r="R165" s="11">
        <f>ROUND(Таб[[#This Row],[Зелений Тариф ЕЦ]]+Таб[[#This Row],[Зелений Тариф ЕЦ]]*Таб[[#This Row],[% надбавки]],4)</f>
        <v>0.15029999999999999</v>
      </c>
      <c r="S165" s="12"/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BD1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45.982849457864511</v>
      </c>
      <c r="BE1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79.290074724998021</v>
      </c>
      <c r="BF1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133.76828933196947</v>
      </c>
      <c r="BG1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190.13436286096467</v>
      </c>
      <c r="BH1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234.09450633094659</v>
      </c>
      <c r="BI1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242.72471854591237</v>
      </c>
      <c r="BJ1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246.63528345581867</v>
      </c>
      <c r="BK1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213.19321112282631</v>
      </c>
      <c r="BL1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149.68024310331262</v>
      </c>
      <c r="BM1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96.145957957353062</v>
      </c>
      <c r="BN1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44.499531733417264</v>
      </c>
      <c r="BO1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37.622331374616415</v>
      </c>
      <c r="BP165">
        <f>SUM(Таб[[#This Row],[1]:[12]])</f>
        <v>1713.7713600000002</v>
      </c>
    </row>
    <row r="166" spans="2:68" ht="25.5">
      <c r="B166" t="s">
        <v>384</v>
      </c>
      <c r="C166" t="str">
        <f>IFERROR(VLOOKUP(Таб[[#This Row],[Зелений Тариф ЕЦ]],Sheet6!$H$9:$I$29,2,FALSE),"")</f>
        <v>Земля</v>
      </c>
      <c r="G166" s="1" t="s">
        <v>443</v>
      </c>
      <c r="H166" t="s">
        <v>107</v>
      </c>
      <c r="I166" t="s">
        <v>445</v>
      </c>
      <c r="J166" s="7">
        <v>9.9220000000000006</v>
      </c>
      <c r="K166" s="8"/>
      <c r="L166" s="8">
        <v>43613</v>
      </c>
      <c r="M166">
        <v>5</v>
      </c>
      <c r="N166" s="49" t="s">
        <v>57</v>
      </c>
      <c r="O166">
        <v>2019</v>
      </c>
      <c r="P166">
        <v>0.15029999999999999</v>
      </c>
      <c r="Q166" s="10"/>
      <c r="R166" s="11">
        <f>ROUND(Таб[[#This Row],[Зелений Тариф ЕЦ]]+Таб[[#This Row],[Зелений Тариф ЕЦ]]*Таб[[#This Row],[% надбавки]],4)</f>
        <v>0.15029999999999999</v>
      </c>
      <c r="S166" s="12"/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0.32200000000000001</v>
      </c>
      <c r="BD1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319.49708145723508</v>
      </c>
      <c r="BE1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550.92165365646395</v>
      </c>
      <c r="BF1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929.44605514832006</v>
      </c>
      <c r="BG1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1321.0876388700922</v>
      </c>
      <c r="BH1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1626.5305965095602</v>
      </c>
      <c r="BI1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1686.4948581320327</v>
      </c>
      <c r="BJ1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1713.6661641797155</v>
      </c>
      <c r="BK1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1481.3046503926353</v>
      </c>
      <c r="BL1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1040.0051625147535</v>
      </c>
      <c r="BM1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668.03935213785508</v>
      </c>
      <c r="BN1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309.1907239908727</v>
      </c>
      <c r="BO1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261.40670301046509</v>
      </c>
      <c r="BP166">
        <f>SUM(Таб[[#This Row],[1]:[12]])</f>
        <v>11907.590640000002</v>
      </c>
    </row>
    <row r="167" spans="2:68" ht="38.25">
      <c r="B167" t="s">
        <v>384</v>
      </c>
      <c r="C167" t="str">
        <f>IFERROR(VLOOKUP(Таб[[#This Row],[Зелений Тариф ЕЦ]],Sheet6!$H$9:$I$29,2,FALSE),"")</f>
        <v>Земля</v>
      </c>
      <c r="G167" s="1" t="s">
        <v>447</v>
      </c>
      <c r="H167" t="s">
        <v>198</v>
      </c>
      <c r="I167" t="s">
        <v>448</v>
      </c>
      <c r="J167" s="7">
        <v>1.1619999999999999</v>
      </c>
      <c r="K167" s="8"/>
      <c r="L167" s="8">
        <v>43403</v>
      </c>
      <c r="M167">
        <v>10</v>
      </c>
      <c r="N167" s="49" t="s">
        <v>71</v>
      </c>
      <c r="O167">
        <v>2018</v>
      </c>
      <c r="P167">
        <v>0.15029999999999999</v>
      </c>
      <c r="Q167" s="10"/>
      <c r="R167" s="11">
        <f>ROUND(Таб[[#This Row],[Зелений Тариф ЕЦ]]+Таб[[#This Row],[Зелений Тариф ЕЦ]]*Таб[[#This Row],[% надбавки]],4)</f>
        <v>0.15029999999999999</v>
      </c>
      <c r="S167" s="12"/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1.2E-2</v>
      </c>
      <c r="AS167">
        <v>5.2999999999999999E-2</v>
      </c>
      <c r="AT167">
        <v>0.112</v>
      </c>
      <c r="AU167">
        <v>0.14599999999999999</v>
      </c>
      <c r="AV167">
        <v>0.156</v>
      </c>
      <c r="AW167">
        <v>0.191</v>
      </c>
      <c r="AX167">
        <v>9.8000000000000004E-2</v>
      </c>
      <c r="AY167">
        <v>0.16900000000000001</v>
      </c>
      <c r="BD1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37.417416715713273</v>
      </c>
      <c r="BE1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64.520354923282696</v>
      </c>
      <c r="BF1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108.8506668093477</v>
      </c>
      <c r="BG1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154.71717762215752</v>
      </c>
      <c r="BH1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190.48866691635845</v>
      </c>
      <c r="BI1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197.51129058147768</v>
      </c>
      <c r="BJ1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200.69341692973484</v>
      </c>
      <c r="BK1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173.48075022739789</v>
      </c>
      <c r="BL1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121.79862919191125</v>
      </c>
      <c r="BM1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78.23641676921865</v>
      </c>
      <c r="BN1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36.210403273270913</v>
      </c>
      <c r="BO1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30.614250040129043</v>
      </c>
      <c r="BP167">
        <f>SUM(Таб[[#This Row],[1]:[12]])</f>
        <v>1394.53944</v>
      </c>
    </row>
    <row r="168" spans="2:68" ht="38.25">
      <c r="B168" t="s">
        <v>384</v>
      </c>
      <c r="C168" t="str">
        <f>IFERROR(VLOOKUP(Таб[[#This Row],[Зелений Тариф ЕЦ]],Sheet6!$H$9:$I$29,2,FALSE),"")</f>
        <v>Земля</v>
      </c>
      <c r="G168" s="1" t="s">
        <v>450</v>
      </c>
      <c r="H168" t="s">
        <v>65</v>
      </c>
      <c r="I168" t="s">
        <v>424</v>
      </c>
      <c r="J168" s="7">
        <v>5.5659999999999998</v>
      </c>
      <c r="K168" s="8"/>
      <c r="L168" s="8">
        <v>43361</v>
      </c>
      <c r="M168">
        <v>9</v>
      </c>
      <c r="N168" s="49" t="s">
        <v>60</v>
      </c>
      <c r="O168">
        <v>2018</v>
      </c>
      <c r="P168">
        <v>0.15029999999999999</v>
      </c>
      <c r="Q168" s="10"/>
      <c r="R168" s="11">
        <f>ROUND(Таб[[#This Row],[Зелений Тариф ЕЦ]]+Таб[[#This Row],[Зелений Тариф ЕЦ]]*Таб[[#This Row],[% надбавки]],4)</f>
        <v>0.15029999999999999</v>
      </c>
      <c r="S168" s="12"/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0.88700000000000001</v>
      </c>
      <c r="AN168">
        <v>0.70499999999999996</v>
      </c>
      <c r="AO168">
        <v>0.59299999999999997</v>
      </c>
      <c r="AP168">
        <v>0.159</v>
      </c>
      <c r="AQ168">
        <v>9.5000000000000001E-2</v>
      </c>
      <c r="AR168">
        <v>0.121</v>
      </c>
      <c r="AS168">
        <v>0.41499999999999998</v>
      </c>
      <c r="AT168">
        <v>0.57499999999999996</v>
      </c>
      <c r="AU168">
        <v>0.80399999999999994</v>
      </c>
      <c r="AV168">
        <v>0.8859999999999999</v>
      </c>
      <c r="AW168">
        <v>1.131</v>
      </c>
      <c r="AX168">
        <v>1.1040000000000001</v>
      </c>
      <c r="AY168">
        <v>1.0720000000000001</v>
      </c>
      <c r="BD1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179.23007008576602</v>
      </c>
      <c r="BE1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309.05361058777243</v>
      </c>
      <c r="BF1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521.39656752222822</v>
      </c>
      <c r="BG1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741.09794375639308</v>
      </c>
      <c r="BH1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912.44399316389968</v>
      </c>
      <c r="BI1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946.08248139114005</v>
      </c>
      <c r="BJ1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961.32492136910855</v>
      </c>
      <c r="BK1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830.97577948855155</v>
      </c>
      <c r="BL1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583.41753019120313</v>
      </c>
      <c r="BM1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374.7537829066016</v>
      </c>
      <c r="BN1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173.44845492170904</v>
      </c>
      <c r="BO1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146.64278461562674</v>
      </c>
      <c r="BP168">
        <f>SUM(Таб[[#This Row],[1]:[12]])</f>
        <v>6679.8679199999988</v>
      </c>
    </row>
    <row r="169" spans="2:68" ht="38.25">
      <c r="B169" t="s">
        <v>384</v>
      </c>
      <c r="C169" t="str">
        <f>IFERROR(VLOOKUP(Таб[[#This Row],[Зелений Тариф ЕЦ]],Sheet6!$H$9:$I$29,2,FALSE),"")</f>
        <v>Земля</v>
      </c>
      <c r="G169" s="1" t="s">
        <v>450</v>
      </c>
      <c r="H169" t="s">
        <v>65</v>
      </c>
      <c r="I169" t="s">
        <v>454</v>
      </c>
      <c r="J169" s="7">
        <v>1.452</v>
      </c>
      <c r="K169" s="8"/>
      <c r="L169" s="8">
        <v>43564</v>
      </c>
      <c r="M169">
        <v>4</v>
      </c>
      <c r="N169" s="49" t="s">
        <v>57</v>
      </c>
      <c r="O169">
        <v>2019</v>
      </c>
      <c r="P169">
        <v>0.15029999999999999</v>
      </c>
      <c r="Q169" s="10"/>
      <c r="R169" s="11">
        <f>ROUND(Таб[[#This Row],[Зелений Тариф ЕЦ]]+Таб[[#This Row],[Зелений Тариф ЕЦ]]*Таб[[#This Row],[% надбавки]],4)</f>
        <v>0.15029999999999999</v>
      </c>
      <c r="S169" s="12"/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BD1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46.755670457156349</v>
      </c>
      <c r="BE1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80.622681022897169</v>
      </c>
      <c r="BF1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136.01649587536389</v>
      </c>
      <c r="BG1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193.32989837123301</v>
      </c>
      <c r="BH1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238.02886778188685</v>
      </c>
      <c r="BI1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246.80412558029744</v>
      </c>
      <c r="BJ1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250.78041427020219</v>
      </c>
      <c r="BK1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216.77629030136126</v>
      </c>
      <c r="BL1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152.19587744118343</v>
      </c>
      <c r="BM1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97.761856410417806</v>
      </c>
      <c r="BN1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45.247423023054537</v>
      </c>
      <c r="BO1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38.254639464946095</v>
      </c>
      <c r="BP169">
        <f>SUM(Таб[[#This Row],[1]:[12]])</f>
        <v>1742.5742400000001</v>
      </c>
    </row>
    <row r="170" spans="2:68" ht="25.5">
      <c r="B170" t="s">
        <v>384</v>
      </c>
      <c r="C170" t="str">
        <f>IFERROR(VLOOKUP(Таб[[#This Row],[Зелений Тариф ЕЦ]],Sheet6!$H$9:$I$29,2,FALSE),"")</f>
        <v>Земля</v>
      </c>
      <c r="G170" s="1" t="s">
        <v>456</v>
      </c>
      <c r="H170" t="s">
        <v>98</v>
      </c>
      <c r="I170" t="s">
        <v>458</v>
      </c>
      <c r="J170" s="7">
        <v>3.2010000000000001</v>
      </c>
      <c r="K170" s="8"/>
      <c r="L170" s="8">
        <v>43643</v>
      </c>
      <c r="M170">
        <v>6</v>
      </c>
      <c r="N170" s="49" t="s">
        <v>57</v>
      </c>
      <c r="O170">
        <v>2019</v>
      </c>
      <c r="P170">
        <v>0.15029999999999999</v>
      </c>
      <c r="Q170" s="10"/>
      <c r="R170" s="11">
        <f>ROUND(Таб[[#This Row],[Зелений Тариф ЕЦ]]+Таб[[#This Row],[Зелений Тариф ЕЦ]]*Таб[[#This Row],[% надбавки]],4)</f>
        <v>0.15029999999999999</v>
      </c>
      <c r="S170" s="12"/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0.15</v>
      </c>
      <c r="AY170">
        <v>0.36199999999999999</v>
      </c>
      <c r="BD1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103.07500078054923</v>
      </c>
      <c r="BE1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177.73636498229601</v>
      </c>
      <c r="BF1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299.85454772523411</v>
      </c>
      <c r="BG1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426.20454868203637</v>
      </c>
      <c r="BH1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524.74545851915968</v>
      </c>
      <c r="BI1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544.09091321111032</v>
      </c>
      <c r="BJ1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552.85682236840034</v>
      </c>
      <c r="BK1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477.89318543709192</v>
      </c>
      <c r="BL1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335.52272981351803</v>
      </c>
      <c r="BM1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215.52045617751199</v>
      </c>
      <c r="BN1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99.750000755370223</v>
      </c>
      <c r="BO1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84.334091547722096</v>
      </c>
      <c r="BP170">
        <f>SUM(Таб[[#This Row],[1]:[12]])</f>
        <v>3841.5841200000004</v>
      </c>
    </row>
    <row r="171" spans="2:68" ht="38.25">
      <c r="B171" t="s">
        <v>384</v>
      </c>
      <c r="C171" t="str">
        <f>IFERROR(VLOOKUP(Таб[[#This Row],[Зелений Тариф ЕЦ]],Sheet6!$H$9:$I$29,2,FALSE),"")</f>
        <v>Земля</v>
      </c>
      <c r="G171" s="1" t="s">
        <v>461</v>
      </c>
      <c r="H171" t="s">
        <v>73</v>
      </c>
      <c r="J171" s="7">
        <v>0.999</v>
      </c>
      <c r="K171" s="8"/>
      <c r="L171" s="8">
        <v>41599</v>
      </c>
      <c r="M171">
        <v>11</v>
      </c>
      <c r="N171" s="49" t="s">
        <v>71</v>
      </c>
      <c r="O171">
        <v>2013</v>
      </c>
      <c r="P171">
        <v>0.33929999999999999</v>
      </c>
      <c r="Q171" s="10"/>
      <c r="R171" s="11">
        <f>ROUND(Таб[[#This Row],[Зелений Тариф ЕЦ]]+Таб[[#This Row],[Зелений Тариф ЕЦ]]*Таб[[#This Row],[% надбавки]],4)</f>
        <v>0.33929999999999999</v>
      </c>
      <c r="S171" s="12"/>
      <c r="T171">
        <v>4.5999999999999999E-2</v>
      </c>
      <c r="U171">
        <v>6.0999999999999999E-2</v>
      </c>
      <c r="V171">
        <v>0.112</v>
      </c>
      <c r="W171">
        <v>0.12100000000000002</v>
      </c>
      <c r="X171">
        <v>0.16399999999999998</v>
      </c>
      <c r="Y171">
        <v>0.15900000000000003</v>
      </c>
      <c r="Z171">
        <v>0.15899999999999992</v>
      </c>
      <c r="AA171">
        <v>0.14700000000000002</v>
      </c>
      <c r="AB171">
        <v>0.13500000000000012</v>
      </c>
      <c r="AC171">
        <v>6.6999999999999948E-2</v>
      </c>
      <c r="AD171">
        <v>3.2000000000000028E-2</v>
      </c>
      <c r="AE171">
        <v>2.0999999999999908E-2</v>
      </c>
      <c r="AF171">
        <v>3.4000000000000002E-2</v>
      </c>
      <c r="AG171">
        <v>4.1000000000000002E-2</v>
      </c>
      <c r="AH171">
        <v>8.1000000000000003E-2</v>
      </c>
      <c r="AI171">
        <v>0.15</v>
      </c>
      <c r="AJ171">
        <v>0.159</v>
      </c>
      <c r="AK171">
        <v>0.153</v>
      </c>
      <c r="AL171">
        <v>0.14399999999999999</v>
      </c>
      <c r="AM171">
        <v>0.16200000000000001</v>
      </c>
      <c r="AN171">
        <v>0.106</v>
      </c>
      <c r="AO171">
        <v>0.113</v>
      </c>
      <c r="AP171">
        <v>3.6999999999999998E-2</v>
      </c>
      <c r="AQ171">
        <v>1.7000000000000001E-2</v>
      </c>
      <c r="AR171">
        <v>2.7E-2</v>
      </c>
      <c r="AS171">
        <v>4.5999999999999999E-2</v>
      </c>
      <c r="AT171">
        <v>0.107</v>
      </c>
      <c r="AU171">
        <v>0.14099999999999999</v>
      </c>
      <c r="AV171">
        <v>0.14099999999999999</v>
      </c>
      <c r="AW171">
        <v>0.15</v>
      </c>
      <c r="AX171">
        <v>0.156</v>
      </c>
      <c r="AY171">
        <v>0.14099999999999999</v>
      </c>
      <c r="BD1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32.16867409552286</v>
      </c>
      <c r="BE1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55.469737150051138</v>
      </c>
      <c r="BF1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93.581597368793766</v>
      </c>
      <c r="BG1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133.01416561491857</v>
      </c>
      <c r="BH1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163.7677953953891</v>
      </c>
      <c r="BI1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169.80531780627902</v>
      </c>
      <c r="BJ1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172.54107014871352</v>
      </c>
      <c r="BK1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149.14567080651506</v>
      </c>
      <c r="BL1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104.71327931387208</v>
      </c>
      <c r="BM1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67.26177310882052</v>
      </c>
      <c r="BN1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31.130974931151155</v>
      </c>
      <c r="BO1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26.319824259973245</v>
      </c>
      <c r="BP171">
        <f>SUM(Таб[[#This Row],[1]:[12]])</f>
        <v>1198.9198800000001</v>
      </c>
    </row>
    <row r="172" spans="2:68" ht="38.25">
      <c r="B172" t="s">
        <v>384</v>
      </c>
      <c r="C172" t="str">
        <f>IFERROR(VLOOKUP(Таб[[#This Row],[Зелений Тариф ЕЦ]],Sheet6!$H$9:$I$29,2,FALSE),"")</f>
        <v>Земля</v>
      </c>
      <c r="G172" s="1" t="s">
        <v>461</v>
      </c>
      <c r="H172" t="s">
        <v>73</v>
      </c>
      <c r="J172" s="7">
        <v>3.996</v>
      </c>
      <c r="K172" s="8"/>
      <c r="L172" s="8">
        <v>42367</v>
      </c>
      <c r="M172">
        <v>12</v>
      </c>
      <c r="N172" s="49" t="s">
        <v>71</v>
      </c>
      <c r="O172">
        <v>2015</v>
      </c>
      <c r="P172">
        <v>0.1696</v>
      </c>
      <c r="Q172" s="10"/>
      <c r="R172" s="11">
        <f>ROUND(Таб[[#This Row],[Зелений Тариф ЕЦ]]+Таб[[#This Row],[Зелений Тариф ЕЦ]]*Таб[[#This Row],[% надбавки]],4)</f>
        <v>0.1696</v>
      </c>
      <c r="S172" s="12"/>
      <c r="T172">
        <v>0.184</v>
      </c>
      <c r="U172">
        <v>0.254</v>
      </c>
      <c r="V172">
        <v>0.46500000000000002</v>
      </c>
      <c r="W172">
        <v>0.504</v>
      </c>
      <c r="X172">
        <v>0.68500000000000005</v>
      </c>
      <c r="Y172">
        <v>0.66299999999999981</v>
      </c>
      <c r="Z172">
        <v>0.65700000000000003</v>
      </c>
      <c r="AA172">
        <v>0.60599999999999987</v>
      </c>
      <c r="AB172">
        <v>0.5600000000000005</v>
      </c>
      <c r="AC172">
        <v>0.27700000000000014</v>
      </c>
      <c r="AD172">
        <v>0.12299999999999933</v>
      </c>
      <c r="AE172">
        <v>6.5000000000000391E-2</v>
      </c>
      <c r="AF172">
        <v>0.113</v>
      </c>
      <c r="AG172">
        <v>0.17399999999999999</v>
      </c>
      <c r="AH172">
        <v>0.33900000000000002</v>
      </c>
      <c r="AI172">
        <v>0.627</v>
      </c>
      <c r="AJ172">
        <v>0.53600000000000003</v>
      </c>
      <c r="AK172">
        <v>0.63100000000000001</v>
      </c>
      <c r="AL172">
        <v>0.60199999999999998</v>
      </c>
      <c r="AM172">
        <v>0.66200000000000003</v>
      </c>
      <c r="AN172">
        <v>0.436</v>
      </c>
      <c r="AO172">
        <v>0.46500000000000002</v>
      </c>
      <c r="AP172">
        <v>0.157</v>
      </c>
      <c r="AQ172">
        <v>7.1999999999999995E-2</v>
      </c>
      <c r="AR172">
        <v>0.111</v>
      </c>
      <c r="AS172">
        <v>0.192</v>
      </c>
      <c r="AT172">
        <v>0.44600000000000001</v>
      </c>
      <c r="AU172">
        <v>0.58599999999999997</v>
      </c>
      <c r="AV172">
        <v>0.58199999999999996</v>
      </c>
      <c r="AW172">
        <v>0.61499999999999999</v>
      </c>
      <c r="AX172">
        <v>0.64900000000000002</v>
      </c>
      <c r="AY172">
        <v>0.42399999999999999</v>
      </c>
      <c r="BD1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128.67469638209144</v>
      </c>
      <c r="BE1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221.87894860020455</v>
      </c>
      <c r="BF1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374.32638947517506</v>
      </c>
      <c r="BG1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532.05666245967427</v>
      </c>
      <c r="BH1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655.0711815815564</v>
      </c>
      <c r="BI1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679.22127122511608</v>
      </c>
      <c r="BJ1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690.16428059485406</v>
      </c>
      <c r="BK1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596.58268322606023</v>
      </c>
      <c r="BL1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418.85311725548831</v>
      </c>
      <c r="BM1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269.04709243528208</v>
      </c>
      <c r="BN1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124.52389972460462</v>
      </c>
      <c r="BO1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105.27929703989298</v>
      </c>
      <c r="BP172">
        <f>SUM(Таб[[#This Row],[1]:[12]])</f>
        <v>4795.6795200000006</v>
      </c>
    </row>
    <row r="173" spans="2:68" ht="25.5">
      <c r="B173" t="s">
        <v>384</v>
      </c>
      <c r="C173" t="str">
        <f>IFERROR(VLOOKUP(Таб[[#This Row],[Зелений Тариф ЕЦ]],Sheet6!$H$9:$I$29,2,FALSE),"")</f>
        <v>Земля</v>
      </c>
      <c r="G173" s="1" t="s">
        <v>466</v>
      </c>
      <c r="H173" t="s">
        <v>185</v>
      </c>
      <c r="I173" t="s">
        <v>467</v>
      </c>
      <c r="J173" s="7">
        <v>0.27600000000000002</v>
      </c>
      <c r="K173" s="8"/>
      <c r="L173" s="8">
        <v>43434</v>
      </c>
      <c r="M173">
        <v>11</v>
      </c>
      <c r="N173" s="49" t="s">
        <v>71</v>
      </c>
      <c r="O173">
        <v>2018</v>
      </c>
      <c r="P173">
        <v>0.15029999999999999</v>
      </c>
      <c r="Q173" s="10"/>
      <c r="R173" s="11">
        <f>ROUND(Таб[[#This Row],[Зелений Тариф ЕЦ]]+Таб[[#This Row],[Зелений Тариф ЕЦ]]*Таб[[#This Row],[% надбавки]],4)</f>
        <v>0.15029999999999999</v>
      </c>
      <c r="S173" s="12"/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0.02</v>
      </c>
      <c r="AY173">
        <v>3.3000000000000002E-2</v>
      </c>
      <c r="BD1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8.8874414918561673</v>
      </c>
      <c r="BE1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15.324972425839956</v>
      </c>
      <c r="BF1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25.854375249036117</v>
      </c>
      <c r="BG1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36.748658368085607</v>
      </c>
      <c r="BH1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45.245156685813207</v>
      </c>
      <c r="BI1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46.913180895428439</v>
      </c>
      <c r="BJ1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47.669004365410345</v>
      </c>
      <c r="BK1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41.20541055315131</v>
      </c>
      <c r="BL1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28.929794885514205</v>
      </c>
      <c r="BM1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18.58283221024471</v>
      </c>
      <c r="BN1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8.6007498308285477</v>
      </c>
      <c r="BO1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7.2715430387914086</v>
      </c>
      <c r="BP173">
        <f>SUM(Таб[[#This Row],[1]:[12]])</f>
        <v>331.23311999999999</v>
      </c>
    </row>
    <row r="174" spans="2:68" ht="38.25">
      <c r="B174" t="s">
        <v>384</v>
      </c>
      <c r="C174" t="str">
        <f>IFERROR(VLOOKUP(Таб[[#This Row],[Зелений Тариф ЕЦ]],Sheet6!$H$9:$I$29,2,FALSE),"")</f>
        <v>Земля</v>
      </c>
      <c r="G174" s="1" t="s">
        <v>470</v>
      </c>
      <c r="H174" t="s">
        <v>73</v>
      </c>
      <c r="I174" t="s">
        <v>77</v>
      </c>
      <c r="J174" s="7">
        <v>2.367</v>
      </c>
      <c r="K174" s="8"/>
      <c r="L174" s="8">
        <v>41816</v>
      </c>
      <c r="M174">
        <v>6</v>
      </c>
      <c r="N174" s="49" t="s">
        <v>57</v>
      </c>
      <c r="O174">
        <v>2014</v>
      </c>
      <c r="P174">
        <v>0.33929999999999999</v>
      </c>
      <c r="Q174" s="10"/>
      <c r="R174" s="11">
        <f>ROUND(Таб[[#This Row],[Зелений Тариф ЕЦ]]+Таб[[#This Row],[Зелений Тариф ЕЦ]]*Таб[[#This Row],[% надбавки]],4)</f>
        <v>0.33929999999999999</v>
      </c>
      <c r="S174" s="12"/>
      <c r="T174">
        <v>8.8999999999999996E-2</v>
      </c>
      <c r="U174">
        <v>0.15</v>
      </c>
      <c r="V174">
        <v>0.29400000000000004</v>
      </c>
      <c r="W174">
        <v>0.30599999999999994</v>
      </c>
      <c r="X174">
        <v>0.42100000000000004</v>
      </c>
      <c r="Y174">
        <v>0.43900000000000006</v>
      </c>
      <c r="Z174">
        <v>0.41499999999999981</v>
      </c>
      <c r="AA174">
        <v>0.39700000000000024</v>
      </c>
      <c r="AB174">
        <v>0.35400000000000009</v>
      </c>
      <c r="AC174">
        <v>0.19999999999999973</v>
      </c>
      <c r="AD174">
        <v>0.10499999999999998</v>
      </c>
      <c r="AE174">
        <v>6.6000000000000281E-2</v>
      </c>
      <c r="AF174">
        <v>7.4999999999999997E-2</v>
      </c>
      <c r="AG174">
        <v>0.13500000000000001</v>
      </c>
      <c r="AH174">
        <v>0.19800000000000001</v>
      </c>
      <c r="AI174">
        <v>0.40799999999999997</v>
      </c>
      <c r="AJ174">
        <v>0.43099999999999999</v>
      </c>
      <c r="AK174">
        <v>0.371</v>
      </c>
      <c r="AL174">
        <v>0.35399999999999998</v>
      </c>
      <c r="AM174">
        <v>0.43</v>
      </c>
      <c r="AN174">
        <v>0.314</v>
      </c>
      <c r="AO174">
        <v>0.317</v>
      </c>
      <c r="AP174">
        <v>0.104</v>
      </c>
      <c r="AQ174">
        <v>4.5999999999999999E-2</v>
      </c>
      <c r="AR174">
        <v>6.2E-2</v>
      </c>
      <c r="AS174">
        <v>0.13800000000000001</v>
      </c>
      <c r="AT174">
        <v>0.32200000000000001</v>
      </c>
      <c r="AU174">
        <v>0.36599999999999999</v>
      </c>
      <c r="AV174">
        <v>0.39800000000000002</v>
      </c>
      <c r="AW174">
        <v>0.39500000000000002</v>
      </c>
      <c r="AX174">
        <v>0.39500000000000002</v>
      </c>
      <c r="AY174">
        <v>0.40600000000000003</v>
      </c>
      <c r="BD1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76.219471055157769</v>
      </c>
      <c r="BE1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131.42829613030136</v>
      </c>
      <c r="BF1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221.72937034227712</v>
      </c>
      <c r="BG1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315.15968970021243</v>
      </c>
      <c r="BH1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388.02639809898506</v>
      </c>
      <c r="BI1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402.33151876622867</v>
      </c>
      <c r="BJ1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408.81352656857348</v>
      </c>
      <c r="BK1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353.38118398300418</v>
      </c>
      <c r="BL1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248.10443657250769</v>
      </c>
      <c r="BM1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159.36798493351168</v>
      </c>
      <c r="BN1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73.760778440475264</v>
      </c>
      <c r="BO1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62.361385408765457</v>
      </c>
      <c r="BP174">
        <f>SUM(Таб[[#This Row],[1]:[12]])</f>
        <v>2840.6840400000006</v>
      </c>
    </row>
    <row r="175" spans="2:68" ht="63.75">
      <c r="B175" t="s">
        <v>384</v>
      </c>
      <c r="C175" t="str">
        <f>IFERROR(VLOOKUP(Таб[[#This Row],[Зелений Тариф ЕЦ]],Sheet6!$H$9:$I$29,2,FALSE),"")</f>
        <v>Земля</v>
      </c>
      <c r="G175" s="1" t="s">
        <v>472</v>
      </c>
      <c r="H175" t="s">
        <v>101</v>
      </c>
      <c r="J175" s="7">
        <v>4.0350000000000001</v>
      </c>
      <c r="K175" s="8"/>
      <c r="L175" s="8">
        <v>43333</v>
      </c>
      <c r="M175">
        <v>8</v>
      </c>
      <c r="N175" s="49" t="s">
        <v>60</v>
      </c>
      <c r="O175">
        <v>2018</v>
      </c>
      <c r="P175">
        <v>0.15029999999999999</v>
      </c>
      <c r="Q175" s="10">
        <v>0.05</v>
      </c>
      <c r="R175" s="11">
        <f>ROUND(Таб[[#This Row],[Зелений Тариф ЕЦ]]+Таб[[#This Row],[Зелений Тариф ЕЦ]]*Таб[[#This Row],[% надбавки]],4)</f>
        <v>0.1578</v>
      </c>
      <c r="S175" s="12">
        <v>43361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0.48099999999999998</v>
      </c>
      <c r="AO175">
        <v>0.47699999999999998</v>
      </c>
      <c r="AP175">
        <v>9.7000000000000003E-2</v>
      </c>
      <c r="AQ175">
        <v>0.10100000000000001</v>
      </c>
      <c r="AR175">
        <v>0.13300000000000001</v>
      </c>
      <c r="AS175">
        <v>0.24299999999999999</v>
      </c>
      <c r="AT175">
        <v>0.59599999999999997</v>
      </c>
      <c r="AU175">
        <v>0.58799999999999997</v>
      </c>
      <c r="AV175">
        <v>0.66200000000000003</v>
      </c>
      <c r="AW175">
        <v>0.69699999999999995</v>
      </c>
      <c r="AX175">
        <v>0.67300000000000004</v>
      </c>
      <c r="AY175">
        <v>0.69099999999999995</v>
      </c>
      <c r="BD1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129.93053050594068</v>
      </c>
      <c r="BE1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224.04443383429066</v>
      </c>
      <c r="BF1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377.97972510819102</v>
      </c>
      <c r="BG1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537.24940766386021</v>
      </c>
      <c r="BH1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661.46451893933443</v>
      </c>
      <c r="BI1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685.85030765599186</v>
      </c>
      <c r="BJ1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696.90011816822732</v>
      </c>
      <c r="BK1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602.40518689117948</v>
      </c>
      <c r="BL1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422.94102305452827</v>
      </c>
      <c r="BM1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271.67292742151233</v>
      </c>
      <c r="BN1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125.73922307026518</v>
      </c>
      <c r="BO1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106.30679768667873</v>
      </c>
      <c r="BP175">
        <f>SUM(Таб[[#This Row],[1]:[12]])</f>
        <v>4842.4841999999999</v>
      </c>
    </row>
    <row r="176" spans="2:68" ht="38.25">
      <c r="B176" t="s">
        <v>384</v>
      </c>
      <c r="C176" t="str">
        <f>IFERROR(VLOOKUP(Таб[[#This Row],[Зелений Тариф ЕЦ]],Sheet6!$H$9:$I$29,2,FALSE),"")</f>
        <v>Земля</v>
      </c>
      <c r="G176" s="1" t="s">
        <v>61</v>
      </c>
      <c r="H176" t="s">
        <v>62</v>
      </c>
      <c r="I176" t="s">
        <v>63</v>
      </c>
      <c r="J176" s="7">
        <v>0.1</v>
      </c>
      <c r="K176" s="8"/>
      <c r="L176" s="8">
        <v>43581</v>
      </c>
      <c r="M176">
        <v>4</v>
      </c>
      <c r="N176" s="49" t="s">
        <v>57</v>
      </c>
      <c r="O176">
        <v>2019</v>
      </c>
      <c r="P176">
        <v>0.15029999999999999</v>
      </c>
      <c r="Q176" s="10"/>
      <c r="R176" s="11">
        <f>ROUND(Таб[[#This Row],[Зелений Тариф ЕЦ]]+Таб[[#This Row],[Зелений Тариф ЕЦ]]*Таб[[#This Row],[% надбавки]],4)</f>
        <v>0.15029999999999999</v>
      </c>
      <c r="S176" s="12"/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BD1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3.2200874970493363</v>
      </c>
      <c r="BE1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5.5525262412463618</v>
      </c>
      <c r="BF1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9.3675272641435203</v>
      </c>
      <c r="BG1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13.314731292784639</v>
      </c>
      <c r="BH1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16.393172712251161</v>
      </c>
      <c r="BI1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16.997529309937839</v>
      </c>
      <c r="BJ1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17.271378393264616</v>
      </c>
      <c r="BK1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14.929496577228736</v>
      </c>
      <c r="BL1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10.481809741128338</v>
      </c>
      <c r="BM1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6.7329102211031557</v>
      </c>
      <c r="BN1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3.116213706821938</v>
      </c>
      <c r="BO1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2.6346170430403655</v>
      </c>
      <c r="BP176">
        <f>SUM(Таб[[#This Row],[1]:[12]])</f>
        <v>120.01199999999999</v>
      </c>
    </row>
    <row r="177" spans="2:68" ht="63.75">
      <c r="B177" t="s">
        <v>384</v>
      </c>
      <c r="C177" t="str">
        <f>IFERROR(VLOOKUP(Таб[[#This Row],[Зелений Тариф ЕЦ]],Sheet6!$H$9:$I$29,2,FALSE),"")</f>
        <v>Земля</v>
      </c>
      <c r="D177" t="s">
        <v>3359</v>
      </c>
      <c r="E177" t="s">
        <v>3385</v>
      </c>
      <c r="F177" t="s">
        <v>3287</v>
      </c>
      <c r="G177" s="1" t="s">
        <v>477</v>
      </c>
      <c r="H177" t="s">
        <v>98</v>
      </c>
      <c r="J177" s="7">
        <v>8.452</v>
      </c>
      <c r="K177" s="8"/>
      <c r="L177" s="8">
        <v>43494</v>
      </c>
      <c r="M177">
        <v>1</v>
      </c>
      <c r="N177" s="49" t="s">
        <v>67</v>
      </c>
      <c r="O177">
        <v>2019</v>
      </c>
      <c r="P177">
        <v>0.15029999999999999</v>
      </c>
      <c r="Q177" s="10"/>
      <c r="R177" s="11">
        <f>ROUND(Таб[[#This Row],[Зелений Тариф ЕЦ]]+Таб[[#This Row],[Зелений Тариф ЕЦ]]*Таб[[#This Row],[% надбавки]],4)</f>
        <v>0.15029999999999999</v>
      </c>
      <c r="S177" s="12"/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0.75700000000000001</v>
      </c>
      <c r="AU177">
        <v>1.006</v>
      </c>
      <c r="AV177">
        <v>0.81299999999999994</v>
      </c>
      <c r="AW177">
        <v>1.1919999999999999</v>
      </c>
      <c r="AX177">
        <v>1.2569999999999999</v>
      </c>
      <c r="AY177">
        <v>1.2809999999999999</v>
      </c>
      <c r="BD1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272.16179525060983</v>
      </c>
      <c r="BE1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469.29951791014241</v>
      </c>
      <c r="BF1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791.74340436541036</v>
      </c>
      <c r="BG1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1125.3610888661578</v>
      </c>
      <c r="BH1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1385.5509576394679</v>
      </c>
      <c r="BI1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1436.6311772759461</v>
      </c>
      <c r="BJ1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1459.7769017987255</v>
      </c>
      <c r="BK1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1261.8410507073729</v>
      </c>
      <c r="BL1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885.92255932016678</v>
      </c>
      <c r="BM1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569.06557188763861</v>
      </c>
      <c r="BN1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263.38238250059015</v>
      </c>
      <c r="BO1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222.67783247777169</v>
      </c>
      <c r="BP177">
        <f>SUM(Таб[[#This Row],[1]:[12]])</f>
        <v>10143.414239999998</v>
      </c>
    </row>
    <row r="178" spans="2:68" ht="38.25">
      <c r="B178" t="s">
        <v>384</v>
      </c>
      <c r="C178" t="str">
        <f>IFERROR(VLOOKUP(Таб[[#This Row],[Зелений Тариф ЕЦ]],Sheet6!$H$9:$I$29,2,FALSE),"")</f>
        <v>Земля</v>
      </c>
      <c r="D178" t="s">
        <v>3368</v>
      </c>
      <c r="E178" t="s">
        <v>3368</v>
      </c>
      <c r="F178" t="s">
        <v>3369</v>
      </c>
      <c r="G178" s="1" t="s">
        <v>480</v>
      </c>
      <c r="H178" t="s">
        <v>101</v>
      </c>
      <c r="I178" t="s">
        <v>481</v>
      </c>
      <c r="J178" s="7">
        <v>34.14</v>
      </c>
      <c r="K178" s="8"/>
      <c r="L178" s="8">
        <v>41389</v>
      </c>
      <c r="M178">
        <v>4</v>
      </c>
      <c r="N178" s="49" t="s">
        <v>57</v>
      </c>
      <c r="O178">
        <v>2013</v>
      </c>
      <c r="P178">
        <v>0.25850000000000001</v>
      </c>
      <c r="Q178" s="10"/>
      <c r="R178" s="11">
        <f>ROUND(Таб[[#This Row],[Зелений Тариф ЕЦ]]+Таб[[#This Row],[Зелений Тариф ЕЦ]]*Таб[[#This Row],[% надбавки]],4)</f>
        <v>0.25850000000000001</v>
      </c>
      <c r="S178" s="12"/>
      <c r="T178">
        <v>1.9239999999999999</v>
      </c>
      <c r="U178">
        <v>2.2840000000000003</v>
      </c>
      <c r="V178">
        <v>3.8629999999999995</v>
      </c>
      <c r="W178">
        <v>4.734</v>
      </c>
      <c r="X178">
        <v>5.6870000000000012</v>
      </c>
      <c r="Y178">
        <v>5.7469999999999999</v>
      </c>
      <c r="Z178">
        <v>5.5829999999999984</v>
      </c>
      <c r="AA178">
        <v>5.7219999999999978</v>
      </c>
      <c r="AB178">
        <v>4.9980000000000047</v>
      </c>
      <c r="AC178">
        <v>3.4859999999999971</v>
      </c>
      <c r="AD178">
        <v>1.4310000000000045</v>
      </c>
      <c r="AE178">
        <v>1.4329999999999998</v>
      </c>
      <c r="AF178">
        <v>1.903</v>
      </c>
      <c r="AG178">
        <v>1.671</v>
      </c>
      <c r="AH178">
        <v>2.9889999999999999</v>
      </c>
      <c r="AI178">
        <v>5.6050000000000004</v>
      </c>
      <c r="AJ178">
        <v>5.6479999999999997</v>
      </c>
      <c r="AK178">
        <v>5.1950000000000003</v>
      </c>
      <c r="AL178">
        <v>4.9269999999999996</v>
      </c>
      <c r="AM178">
        <v>5.9489999999999998</v>
      </c>
      <c r="AN178">
        <v>4.2409999999999997</v>
      </c>
      <c r="AO178">
        <v>4.1980000000000004</v>
      </c>
      <c r="AP178">
        <v>0.92</v>
      </c>
      <c r="AQ178">
        <v>1.0629999999999999</v>
      </c>
      <c r="AR178">
        <v>1.304</v>
      </c>
      <c r="AS178">
        <v>2.0750000000000002</v>
      </c>
      <c r="AT178">
        <v>4.8360000000000003</v>
      </c>
      <c r="AU178">
        <v>4.3330000000000002</v>
      </c>
      <c r="AV178">
        <v>4.9960000000000004</v>
      </c>
      <c r="AW178">
        <v>5.29</v>
      </c>
      <c r="AX178">
        <v>5.4820000000000002</v>
      </c>
      <c r="AY178">
        <v>5.6029999999999998</v>
      </c>
      <c r="BD1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1099.3378714926432</v>
      </c>
      <c r="BE1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1895.6324587615079</v>
      </c>
      <c r="BF1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3198.0738079785979</v>
      </c>
      <c r="BG1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4545.6492633566768</v>
      </c>
      <c r="BH1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5596.629163962546</v>
      </c>
      <c r="BI1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5802.9565064127783</v>
      </c>
      <c r="BJ1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5896.4485834605402</v>
      </c>
      <c r="BK1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5096.9301314658906</v>
      </c>
      <c r="BL1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3578.489845621214</v>
      </c>
      <c r="BM1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2298.6155494846171</v>
      </c>
      <c r="BN1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1063.8753595090095</v>
      </c>
      <c r="BO1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899.45825849398079</v>
      </c>
      <c r="BP178">
        <f>SUM(Таб[[#This Row],[1]:[12]])</f>
        <v>40972.096799999999</v>
      </c>
    </row>
    <row r="179" spans="2:68" ht="25.5">
      <c r="B179" t="s">
        <v>384</v>
      </c>
      <c r="C179" t="str">
        <f>IFERROR(VLOOKUP(Таб[[#This Row],[Зелений Тариф ЕЦ]],Sheet6!$H$9:$I$29,2,FALSE),"")</f>
        <v>Земля</v>
      </c>
      <c r="G179" s="1" t="s">
        <v>483</v>
      </c>
      <c r="H179" t="s">
        <v>233</v>
      </c>
      <c r="I179" t="s">
        <v>289</v>
      </c>
      <c r="J179" s="7">
        <v>6.1829999999999998</v>
      </c>
      <c r="K179" s="8"/>
      <c r="L179" s="8">
        <v>43602</v>
      </c>
      <c r="M179">
        <v>5</v>
      </c>
      <c r="N179" s="49" t="s">
        <v>57</v>
      </c>
      <c r="O179">
        <v>2019</v>
      </c>
      <c r="P179">
        <v>0.15029999999999999</v>
      </c>
      <c r="Q179" s="10"/>
      <c r="R179" s="11">
        <f>ROUND(Таб[[#This Row],[Зелений Тариф ЕЦ]]+Таб[[#This Row],[Зелений Тариф ЕЦ]]*Таб[[#This Row],[% надбавки]],4)</f>
        <v>0.15029999999999999</v>
      </c>
      <c r="S179" s="12"/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5.3999999999999999E-2</v>
      </c>
      <c r="AV179">
        <v>0.28000000000000003</v>
      </c>
      <c r="AW179">
        <v>1.0620000000000001</v>
      </c>
      <c r="AX179">
        <v>1.0089999999999999</v>
      </c>
      <c r="AY179">
        <v>0.99</v>
      </c>
      <c r="BD1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199.09800994256045</v>
      </c>
      <c r="BE1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343.31269749626244</v>
      </c>
      <c r="BF1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579.19421074199386</v>
      </c>
      <c r="BG1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823.2498358328744</v>
      </c>
      <c r="BH1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1013.5898687984892</v>
      </c>
      <c r="BI1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1050.9572372334565</v>
      </c>
      <c r="BJ1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1067.8893260555512</v>
      </c>
      <c r="BK1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923.09077337005283</v>
      </c>
      <c r="BL1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648.09029629396491</v>
      </c>
      <c r="BM1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416.29583897080806</v>
      </c>
      <c r="BN1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192.6754934928004</v>
      </c>
      <c r="BO1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162.89837177118577</v>
      </c>
      <c r="BP179">
        <f>SUM(Таб[[#This Row],[1]:[12]])</f>
        <v>7420.3419599999997</v>
      </c>
    </row>
    <row r="180" spans="2:68" ht="63.75">
      <c r="B180" t="s">
        <v>384</v>
      </c>
      <c r="C180" t="str">
        <f>IFERROR(VLOOKUP(Таб[[#This Row],[Зелений Тариф ЕЦ]],Sheet6!$H$9:$I$29,2,FALSE),"")</f>
        <v>Земля</v>
      </c>
      <c r="G180" s="1" t="s">
        <v>486</v>
      </c>
      <c r="H180" t="s">
        <v>198</v>
      </c>
      <c r="I180" t="s">
        <v>208</v>
      </c>
      <c r="J180" s="7">
        <v>5.7859999999999996</v>
      </c>
      <c r="K180" s="8"/>
      <c r="L180" s="8">
        <v>43511</v>
      </c>
      <c r="M180">
        <v>2</v>
      </c>
      <c r="N180" s="49" t="s">
        <v>67</v>
      </c>
      <c r="O180">
        <v>2019</v>
      </c>
      <c r="P180">
        <v>0.15029999999999999</v>
      </c>
      <c r="Q180" s="10"/>
      <c r="R180" s="11">
        <f>ROUND(Таб[[#This Row],[Зелений Тариф ЕЦ]]+Таб[[#This Row],[Зелений Тариф ЕЦ]]*Таб[[#This Row],[% надбавки]],4)</f>
        <v>0.15029999999999999</v>
      </c>
      <c r="S180" s="12"/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0.51400000000000001</v>
      </c>
      <c r="AU180">
        <v>0.78400000000000003</v>
      </c>
      <c r="AV180">
        <v>0.75700000000000001</v>
      </c>
      <c r="AW180">
        <v>0.999</v>
      </c>
      <c r="AX180">
        <v>0.88600000000000001</v>
      </c>
      <c r="AY180">
        <v>0.94</v>
      </c>
      <c r="BD1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186.31426257927455</v>
      </c>
      <c r="BE1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321.2691683185144</v>
      </c>
      <c r="BF1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542.00512750334406</v>
      </c>
      <c r="BG1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770.39035260051924</v>
      </c>
      <c r="BH1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948.50897313085204</v>
      </c>
      <c r="BI1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983.47704587300336</v>
      </c>
      <c r="BJ1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999.32195383429053</v>
      </c>
      <c r="BK1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863.82067195845457</v>
      </c>
      <c r="BL1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606.47751162168538</v>
      </c>
      <c r="BM1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389.56618539302855</v>
      </c>
      <c r="BN1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180.3041250767173</v>
      </c>
      <c r="BO1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152.43894211031551</v>
      </c>
      <c r="BP180">
        <f>SUM(Таб[[#This Row],[1]:[12]])</f>
        <v>6943.8943199999994</v>
      </c>
    </row>
    <row r="181" spans="2:68" ht="38.25">
      <c r="B181" t="s">
        <v>384</v>
      </c>
      <c r="C181" t="str">
        <f>IFERROR(VLOOKUP(Таб[[#This Row],[Зелений Тариф ЕЦ]],Sheet6!$H$9:$I$29,2,FALSE),"")</f>
        <v>Земля</v>
      </c>
      <c r="D181" t="s">
        <v>3366</v>
      </c>
      <c r="F181" t="s">
        <v>3287</v>
      </c>
      <c r="G181" s="1" t="s">
        <v>489</v>
      </c>
      <c r="H181" t="s">
        <v>73</v>
      </c>
      <c r="I181" t="s">
        <v>490</v>
      </c>
      <c r="J181" s="7">
        <v>6.5039999999999996</v>
      </c>
      <c r="K181" s="8"/>
      <c r="L181" s="8">
        <v>42495</v>
      </c>
      <c r="M181">
        <v>5</v>
      </c>
      <c r="N181" s="49" t="s">
        <v>57</v>
      </c>
      <c r="O181">
        <v>2016</v>
      </c>
      <c r="P181">
        <v>0.15989999999999999</v>
      </c>
      <c r="Q181" s="10">
        <v>0.05</v>
      </c>
      <c r="R181" s="11">
        <f>ROUND(Таб[[#This Row],[Зелений Тариф ЕЦ]]+Таб[[#This Row],[Зелений Тариф ЕЦ]]*Таб[[#This Row],[% надбавки]],4)</f>
        <v>0.16789999999999999</v>
      </c>
      <c r="S181" s="12">
        <v>43144</v>
      </c>
      <c r="T181">
        <v>0.28599999999999998</v>
      </c>
      <c r="U181">
        <v>0.51100000000000012</v>
      </c>
      <c r="V181">
        <v>0.86899999999999988</v>
      </c>
      <c r="W181">
        <v>0.91900000000000004</v>
      </c>
      <c r="X181">
        <v>1.0569999999999999</v>
      </c>
      <c r="Y181">
        <v>1.0840000000000001</v>
      </c>
      <c r="Z181">
        <v>1.1269999999999998</v>
      </c>
      <c r="AA181">
        <v>1.0760000000000005</v>
      </c>
      <c r="AB181">
        <v>0.98399999999999999</v>
      </c>
      <c r="AC181">
        <v>0.57099999999999973</v>
      </c>
      <c r="AD181">
        <v>0.30400000000000027</v>
      </c>
      <c r="AE181">
        <v>0.19899999999999984</v>
      </c>
      <c r="AF181">
        <v>0.26200000000000001</v>
      </c>
      <c r="AG181">
        <v>0.29499999999999998</v>
      </c>
      <c r="AH181">
        <v>0.56599999999999995</v>
      </c>
      <c r="AI181">
        <v>1.1080000000000001</v>
      </c>
      <c r="AJ181">
        <v>1.1639999999999999</v>
      </c>
      <c r="AK181">
        <v>1.0649999999999999</v>
      </c>
      <c r="AL181">
        <v>1.018</v>
      </c>
      <c r="AM181">
        <v>1.167</v>
      </c>
      <c r="AN181">
        <v>0.85399999999999998</v>
      </c>
      <c r="AO181">
        <v>0.85399999999999998</v>
      </c>
      <c r="AP181">
        <v>0.27700000000000002</v>
      </c>
      <c r="AQ181">
        <v>0.13</v>
      </c>
      <c r="AR181">
        <v>0.21099999999999999</v>
      </c>
      <c r="AS181">
        <v>0.47</v>
      </c>
      <c r="AT181">
        <v>0.90800000000000003</v>
      </c>
      <c r="AU181">
        <v>1.0209999999999999</v>
      </c>
      <c r="AV181">
        <v>1.048</v>
      </c>
      <c r="AW181">
        <v>1.075</v>
      </c>
      <c r="AX181">
        <v>1.069</v>
      </c>
      <c r="AY181">
        <v>1.0489999999999999</v>
      </c>
      <c r="BD1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209.43449080808875</v>
      </c>
      <c r="BE1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361.13630673066325</v>
      </c>
      <c r="BF1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609.26397325989456</v>
      </c>
      <c r="BG1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865.99012328271283</v>
      </c>
      <c r="BH1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1066.2119532048155</v>
      </c>
      <c r="BI1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1105.5193063183572</v>
      </c>
      <c r="BJ1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1123.3304506979307</v>
      </c>
      <c r="BK1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971.01445738295683</v>
      </c>
      <c r="BL1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681.73690556298698</v>
      </c>
      <c r="BM1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437.90848078054921</v>
      </c>
      <c r="BN1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202.67853949169879</v>
      </c>
      <c r="BO1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171.35549247934534</v>
      </c>
      <c r="BP181">
        <f>SUM(Таб[[#This Row],[1]:[12]])</f>
        <v>7805.5804799999996</v>
      </c>
    </row>
    <row r="182" spans="2:68" ht="38.25">
      <c r="B182" t="s">
        <v>384</v>
      </c>
      <c r="C182" t="str">
        <f>IFERROR(VLOOKUP(Таб[[#This Row],[Зелений Тариф ЕЦ]],Sheet6!$H$9:$I$29,2,FALSE),"")</f>
        <v>Земля</v>
      </c>
      <c r="D182" t="s">
        <v>3366</v>
      </c>
      <c r="F182" t="s">
        <v>3287</v>
      </c>
      <c r="G182" s="1" t="s">
        <v>494</v>
      </c>
      <c r="H182" t="s">
        <v>73</v>
      </c>
      <c r="I182" t="s">
        <v>490</v>
      </c>
      <c r="J182" s="7">
        <v>2.706</v>
      </c>
      <c r="K182" s="8"/>
      <c r="L182" s="8">
        <v>42495</v>
      </c>
      <c r="M182">
        <v>5</v>
      </c>
      <c r="N182" s="49" t="s">
        <v>57</v>
      </c>
      <c r="O182">
        <v>2016</v>
      </c>
      <c r="P182">
        <v>0.15989999999999999</v>
      </c>
      <c r="Q182" s="10">
        <v>0.05</v>
      </c>
      <c r="R182" s="11">
        <f>ROUND(Таб[[#This Row],[Зелений Тариф ЕЦ]]+Таб[[#This Row],[Зелений Тариф ЕЦ]]*Таб[[#This Row],[% надбавки]],4)</f>
        <v>0.16789999999999999</v>
      </c>
      <c r="S182" s="12">
        <v>43144</v>
      </c>
      <c r="T182">
        <v>0.11799999999999999</v>
      </c>
      <c r="U182">
        <v>0.21000000000000002</v>
      </c>
      <c r="V182">
        <v>0.35900000000000004</v>
      </c>
      <c r="W182">
        <v>0.38300000000000001</v>
      </c>
      <c r="X182">
        <v>0.46599999999999997</v>
      </c>
      <c r="Y182">
        <v>0.44500000000000006</v>
      </c>
      <c r="Z182">
        <v>0.46799999999999975</v>
      </c>
      <c r="AA182">
        <v>0.44500000000000028</v>
      </c>
      <c r="AB182">
        <v>0.40700000000000003</v>
      </c>
      <c r="AC182">
        <v>0.23599999999999977</v>
      </c>
      <c r="AD182">
        <v>0.125</v>
      </c>
      <c r="AE182">
        <v>8.3000000000000185E-2</v>
      </c>
      <c r="AF182">
        <v>0.107</v>
      </c>
      <c r="AG182">
        <v>0.11899999999999999</v>
      </c>
      <c r="AH182">
        <v>0.23</v>
      </c>
      <c r="AI182">
        <v>0.438</v>
      </c>
      <c r="AJ182">
        <v>0.48199999999999998</v>
      </c>
      <c r="AK182">
        <v>0.44</v>
      </c>
      <c r="AL182">
        <v>0.42</v>
      </c>
      <c r="AM182">
        <v>0.47899999999999998</v>
      </c>
      <c r="AN182">
        <v>0.35399999999999998</v>
      </c>
      <c r="AO182">
        <v>0.35199999999999998</v>
      </c>
      <c r="AP182">
        <v>0.115</v>
      </c>
      <c r="AQ182">
        <v>5.3999999999999999E-2</v>
      </c>
      <c r="AR182">
        <v>8.5999999999999993E-2</v>
      </c>
      <c r="AS182">
        <v>0.19400000000000001</v>
      </c>
      <c r="AT182">
        <v>0.38100000000000001</v>
      </c>
      <c r="AU182">
        <v>0.42399999999999999</v>
      </c>
      <c r="AV182">
        <v>0.433</v>
      </c>
      <c r="AW182">
        <v>0.44400000000000001</v>
      </c>
      <c r="AX182">
        <v>0.442</v>
      </c>
      <c r="AY182">
        <v>0.42899999999999999</v>
      </c>
      <c r="BD1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87.135567670155012</v>
      </c>
      <c r="BE1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150.25136008812652</v>
      </c>
      <c r="BF1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253.48528776772366</v>
      </c>
      <c r="BG1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360.29662878275235</v>
      </c>
      <c r="BH1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443.59925359351644</v>
      </c>
      <c r="BI1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459.95314312691801</v>
      </c>
      <c r="BJ1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467.36349932174051</v>
      </c>
      <c r="BK1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403.99217737980962</v>
      </c>
      <c r="BL1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283.63777159493276</v>
      </c>
      <c r="BM1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182.19255058305137</v>
      </c>
      <c r="BN1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84.324742906601642</v>
      </c>
      <c r="BO1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71.292737184672291</v>
      </c>
      <c r="BP182">
        <f>SUM(Таб[[#This Row],[1]:[12]])</f>
        <v>3247.5247200000003</v>
      </c>
    </row>
    <row r="183" spans="2:68" ht="25.5">
      <c r="B183" t="s">
        <v>384</v>
      </c>
      <c r="C183" t="str">
        <f>IFERROR(VLOOKUP(Таб[[#This Row],[Зелений Тариф ЕЦ]],Sheet6!$H$9:$I$29,2,FALSE),"")</f>
        <v>Земля</v>
      </c>
      <c r="D183" t="s">
        <v>3366</v>
      </c>
      <c r="F183" t="s">
        <v>3287</v>
      </c>
      <c r="G183" s="1" t="s">
        <v>497</v>
      </c>
      <c r="H183" t="s">
        <v>101</v>
      </c>
      <c r="I183" t="s">
        <v>498</v>
      </c>
      <c r="J183" s="7">
        <v>0.08</v>
      </c>
      <c r="K183" s="8"/>
      <c r="L183" s="8">
        <v>42215</v>
      </c>
      <c r="M183">
        <v>7</v>
      </c>
      <c r="N183" s="49" t="s">
        <v>60</v>
      </c>
      <c r="O183">
        <v>2015</v>
      </c>
      <c r="P183">
        <v>0.30530000000000002</v>
      </c>
      <c r="Q183" s="10"/>
      <c r="R183" s="11">
        <f>ROUND(Таб[[#This Row],[Зелений Тариф ЕЦ]]+Таб[[#This Row],[Зелений Тариф ЕЦ]]*Таб[[#This Row],[% надбавки]],4)</f>
        <v>0.30530000000000002</v>
      </c>
      <c r="S183" s="12"/>
      <c r="T183">
        <v>4.0000000000000001E-3</v>
      </c>
      <c r="U183">
        <v>4.0000000000000001E-3</v>
      </c>
      <c r="V183">
        <v>8.0000000000000002E-3</v>
      </c>
      <c r="W183">
        <v>9.9999999999999985E-3</v>
      </c>
      <c r="X183">
        <v>1.2E-2</v>
      </c>
      <c r="Y183">
        <v>1.2000000000000004E-2</v>
      </c>
      <c r="Z183">
        <v>1.1999999999999997E-2</v>
      </c>
      <c r="AA183">
        <v>1.0999999999999996E-2</v>
      </c>
      <c r="AB183">
        <v>1.0000000000000009E-2</v>
      </c>
      <c r="AC183">
        <v>4.9999999999999906E-3</v>
      </c>
      <c r="AD183">
        <v>2.0000000000000018E-3</v>
      </c>
      <c r="AE183">
        <v>3.0000000000000027E-3</v>
      </c>
      <c r="AF183">
        <v>3.0000000000000001E-3</v>
      </c>
      <c r="AG183">
        <v>3.0000000000000001E-3</v>
      </c>
      <c r="AH183">
        <v>6.0000000000000001E-3</v>
      </c>
      <c r="AI183">
        <v>1.0999999999999999E-2</v>
      </c>
      <c r="AJ183">
        <v>0.01</v>
      </c>
      <c r="AK183">
        <v>1.0999999999999999E-2</v>
      </c>
      <c r="AL183">
        <v>0.01</v>
      </c>
      <c r="AM183">
        <v>1.2E-2</v>
      </c>
      <c r="AN183">
        <v>8.0000000000000002E-3</v>
      </c>
      <c r="AO183">
        <v>8.9999999999999993E-3</v>
      </c>
      <c r="AP183">
        <v>3.0000000000000001E-3</v>
      </c>
      <c r="AQ183">
        <v>2E-3</v>
      </c>
      <c r="AR183">
        <v>2E-3</v>
      </c>
      <c r="AS183">
        <v>4.0000000000000001E-3</v>
      </c>
      <c r="AT183">
        <v>0.01</v>
      </c>
      <c r="AU183">
        <v>0.01</v>
      </c>
      <c r="AV183">
        <v>0.01</v>
      </c>
      <c r="AW183">
        <v>7.0000000000000001E-3</v>
      </c>
      <c r="AX183">
        <v>0</v>
      </c>
      <c r="AY183">
        <v>8.0000000000000002E-3</v>
      </c>
      <c r="BD1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2.5760699976394683</v>
      </c>
      <c r="BE1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4.4420209929970884</v>
      </c>
      <c r="BF1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7.4940218113148163</v>
      </c>
      <c r="BG1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10.651785034227713</v>
      </c>
      <c r="BH1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13.114538169800928</v>
      </c>
      <c r="BI1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13.598023447950276</v>
      </c>
      <c r="BJ1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13.817102714611693</v>
      </c>
      <c r="BK1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11.943597261782987</v>
      </c>
      <c r="BL1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8.385447792902669</v>
      </c>
      <c r="BM1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5.3863281768825244</v>
      </c>
      <c r="BN1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2.49297096545755</v>
      </c>
      <c r="BO1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2.1076936344322919</v>
      </c>
      <c r="BP183">
        <f>SUM(Таб[[#This Row],[1]:[12]])</f>
        <v>96.009599999999992</v>
      </c>
    </row>
    <row r="184" spans="2:68" ht="25.5">
      <c r="B184" t="s">
        <v>384</v>
      </c>
      <c r="C184" t="str">
        <f>IFERROR(VLOOKUP(Таб[[#This Row],[Зелений Тариф ЕЦ]],Sheet6!$H$9:$I$29,2,FALSE),"")</f>
        <v>Земля</v>
      </c>
      <c r="G184" s="1" t="s">
        <v>500</v>
      </c>
      <c r="H184" t="s">
        <v>136</v>
      </c>
      <c r="I184" t="s">
        <v>501</v>
      </c>
      <c r="J184" s="7">
        <v>9.2959999999999994</v>
      </c>
      <c r="K184" s="8"/>
      <c r="L184" s="8">
        <v>43361</v>
      </c>
      <c r="M184">
        <v>9</v>
      </c>
      <c r="N184" s="49" t="s">
        <v>60</v>
      </c>
      <c r="O184">
        <v>2018</v>
      </c>
      <c r="P184">
        <v>0.15029999999999999</v>
      </c>
      <c r="Q184" s="10"/>
      <c r="R184" s="11">
        <f>ROUND(Таб[[#This Row],[Зелений Тариф ЕЦ]]+Таб[[#This Row],[Зелений Тариф ЕЦ]]*Таб[[#This Row],[% надбавки]],4)</f>
        <v>0.15029999999999999</v>
      </c>
      <c r="S184" s="12"/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0.36099999999999999</v>
      </c>
      <c r="AQ184">
        <v>0.107</v>
      </c>
      <c r="AR184">
        <v>0.22600000000000001</v>
      </c>
      <c r="AS184">
        <v>0.45400000000000001</v>
      </c>
      <c r="AT184">
        <v>1.0169999999999999</v>
      </c>
      <c r="AU184">
        <v>1.383</v>
      </c>
      <c r="AV184">
        <v>1.4239999999999999</v>
      </c>
      <c r="AW184">
        <v>1.6080000000000001</v>
      </c>
      <c r="AX184">
        <v>1.6339999999999999</v>
      </c>
      <c r="AY184">
        <v>1.47</v>
      </c>
      <c r="BD1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299.33933372570618</v>
      </c>
      <c r="BE1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516.16283938626157</v>
      </c>
      <c r="BF1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870.8053344747816</v>
      </c>
      <c r="BG1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1237.7374209772602</v>
      </c>
      <c r="BH1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1523.9093353308676</v>
      </c>
      <c r="BI1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1580.0903246518214</v>
      </c>
      <c r="BJ1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1605.5473354378787</v>
      </c>
      <c r="BK1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1387.8460018191831</v>
      </c>
      <c r="BL1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974.38903353528997</v>
      </c>
      <c r="BM1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625.8913341537492</v>
      </c>
      <c r="BN1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289.6832261861673</v>
      </c>
      <c r="BO1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244.91400032103235</v>
      </c>
      <c r="BP184">
        <f>SUM(Таб[[#This Row],[1]:[12]])</f>
        <v>11156.31552</v>
      </c>
    </row>
    <row r="185" spans="2:68" ht="63.75">
      <c r="B185" t="s">
        <v>384</v>
      </c>
      <c r="C185" t="str">
        <f>IFERROR(VLOOKUP(Таб[[#This Row],[Зелений Тариф ЕЦ]],Sheet6!$H$9:$I$29,2,FALSE),"")</f>
        <v>Земля</v>
      </c>
      <c r="E185" t="s">
        <v>3450</v>
      </c>
      <c r="F185" t="s">
        <v>3287</v>
      </c>
      <c r="G185" s="1" t="s">
        <v>504</v>
      </c>
      <c r="H185" t="s">
        <v>69</v>
      </c>
      <c r="I185" t="s">
        <v>217</v>
      </c>
      <c r="J185" s="7">
        <v>12.294</v>
      </c>
      <c r="K185" s="8"/>
      <c r="L185" s="8">
        <v>43627</v>
      </c>
      <c r="M185">
        <v>6</v>
      </c>
      <c r="N185" s="49" t="s">
        <v>57</v>
      </c>
      <c r="O185">
        <v>2019</v>
      </c>
      <c r="P185">
        <v>0.15029999999999999</v>
      </c>
      <c r="Q185" s="10"/>
      <c r="R185" s="11">
        <f>ROUND(Таб[[#This Row],[Зелений Тариф ЕЦ]]+Таб[[#This Row],[Зелений Тариф ЕЦ]]*Таб[[#This Row],[% надбавки]],4)</f>
        <v>0.15029999999999999</v>
      </c>
      <c r="S185" s="12"/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1.5680000000000001</v>
      </c>
      <c r="AY185">
        <v>1.9650000000000001</v>
      </c>
      <c r="BD1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395.87755688724536</v>
      </c>
      <c r="BE1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682.6275760988276</v>
      </c>
      <c r="BF1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1151.6438018538042</v>
      </c>
      <c r="BG1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1636.9130651349442</v>
      </c>
      <c r="BH1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2015.3766532441578</v>
      </c>
      <c r="BI1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2089.6762533637584</v>
      </c>
      <c r="BJ1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2123.3432596679518</v>
      </c>
      <c r="BK1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1835.4323092045011</v>
      </c>
      <c r="BL1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1288.6336895743175</v>
      </c>
      <c r="BM1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827.74398258242195</v>
      </c>
      <c r="BN1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383.10731311668906</v>
      </c>
      <c r="BO1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323.89981927138251</v>
      </c>
      <c r="BP185">
        <f>SUM(Таб[[#This Row],[1]:[12]])</f>
        <v>14754.275280000002</v>
      </c>
    </row>
    <row r="186" spans="2:68" ht="25.5">
      <c r="B186" t="s">
        <v>384</v>
      </c>
      <c r="C186" t="str">
        <f>IFERROR(VLOOKUP(Таб[[#This Row],[Зелений Тариф ЕЦ]],Sheet6!$H$9:$I$29,2,FALSE),"")</f>
        <v>Земля</v>
      </c>
      <c r="D186" s="138"/>
      <c r="E186" s="138"/>
      <c r="F186" s="138" t="s">
        <v>3287</v>
      </c>
      <c r="G186" s="1" t="s">
        <v>507</v>
      </c>
      <c r="H186" t="s">
        <v>198</v>
      </c>
      <c r="I186" t="s">
        <v>509</v>
      </c>
      <c r="J186" s="7">
        <v>0.8</v>
      </c>
      <c r="K186" s="8"/>
      <c r="L186" s="8">
        <v>42621</v>
      </c>
      <c r="M186">
        <v>9</v>
      </c>
      <c r="N186" s="49" t="s">
        <v>60</v>
      </c>
      <c r="O186">
        <v>2016</v>
      </c>
      <c r="P186">
        <v>0.15989999999999999</v>
      </c>
      <c r="Q186" s="10"/>
      <c r="R186" s="11">
        <f>ROUND(Таб[[#This Row],[Зелений Тариф ЕЦ]]+Таб[[#This Row],[Зелений Тариф ЕЦ]]*Таб[[#This Row],[% надбавки]],4)</f>
        <v>0.15989999999999999</v>
      </c>
      <c r="S186" s="12"/>
      <c r="T186">
        <v>0.06</v>
      </c>
      <c r="U186">
        <v>0.14200000000000002</v>
      </c>
      <c r="V186">
        <v>0.23299999999999998</v>
      </c>
      <c r="W186">
        <v>0.35000000000000003</v>
      </c>
      <c r="X186">
        <v>0.3929999999999999</v>
      </c>
      <c r="Y186">
        <v>0.41200000000000014</v>
      </c>
      <c r="Z186">
        <v>0.39799999999999991</v>
      </c>
      <c r="AA186">
        <v>0.35999999999999988</v>
      </c>
      <c r="AB186">
        <v>0.27200000000000024</v>
      </c>
      <c r="AC186">
        <v>0.13099999999999978</v>
      </c>
      <c r="AD186">
        <v>6.899999999999995E-2</v>
      </c>
      <c r="AE186">
        <v>3.8000000000000256E-2</v>
      </c>
      <c r="AF186">
        <v>8.3000000000000004E-2</v>
      </c>
      <c r="AG186">
        <v>0.13700000000000001</v>
      </c>
      <c r="AH186">
        <v>0.222</v>
      </c>
      <c r="AI186">
        <v>0.39200000000000002</v>
      </c>
      <c r="AJ186">
        <v>0.41299999999999998</v>
      </c>
      <c r="AK186">
        <v>0.38400000000000001</v>
      </c>
      <c r="AL186">
        <v>0.35499999999999998</v>
      </c>
      <c r="AM186">
        <v>0.40899999999999997</v>
      </c>
      <c r="AN186">
        <v>0.25900000000000001</v>
      </c>
      <c r="AO186">
        <v>0.23200000000000001</v>
      </c>
      <c r="AP186">
        <v>8.5000000000000006E-2</v>
      </c>
      <c r="AQ186">
        <v>3.7999999999999999E-2</v>
      </c>
      <c r="AR186">
        <v>5.5E-2</v>
      </c>
      <c r="AS186">
        <v>0.14000000000000001</v>
      </c>
      <c r="AT186">
        <v>0.222</v>
      </c>
      <c r="AU186">
        <v>0.33900000000000002</v>
      </c>
      <c r="AV186">
        <v>0.33100000000000002</v>
      </c>
      <c r="AW186">
        <v>0.42099999999999999</v>
      </c>
      <c r="AX186">
        <v>0.38100000000000001</v>
      </c>
      <c r="AY186">
        <v>0.38700000000000001</v>
      </c>
      <c r="BD1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25.76069997639469</v>
      </c>
      <c r="BE1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44.420209929970895</v>
      </c>
      <c r="BF1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74.940218113148163</v>
      </c>
      <c r="BG1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106.51785034227711</v>
      </c>
      <c r="BH1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131.14538169800929</v>
      </c>
      <c r="BI1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135.98023447950271</v>
      </c>
      <c r="BJ1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138.17102714611693</v>
      </c>
      <c r="BK1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119.43597261782989</v>
      </c>
      <c r="BL1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83.8544779290267</v>
      </c>
      <c r="BM1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53.863281768825246</v>
      </c>
      <c r="BN1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24.929709654575504</v>
      </c>
      <c r="BO1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21.076936344322924</v>
      </c>
      <c r="BP186">
        <f>SUM(Таб[[#This Row],[1]:[12]])</f>
        <v>960.09599999999989</v>
      </c>
    </row>
    <row r="187" spans="2:68" ht="25.5">
      <c r="B187" t="s">
        <v>384</v>
      </c>
      <c r="C187" t="str">
        <f>IFERROR(VLOOKUP(Таб[[#This Row],[Зелений Тариф ЕЦ]],Sheet6!$H$9:$I$29,2,FALSE),"")</f>
        <v>Земля</v>
      </c>
      <c r="D187" s="138"/>
      <c r="E187" s="138"/>
      <c r="F187" s="138" t="s">
        <v>3287</v>
      </c>
      <c r="G187" s="1" t="s">
        <v>507</v>
      </c>
      <c r="H187" t="s">
        <v>198</v>
      </c>
      <c r="I187" t="s">
        <v>509</v>
      </c>
      <c r="J187" s="7">
        <v>0.8</v>
      </c>
      <c r="K187" s="8"/>
      <c r="L187" s="8">
        <v>42649</v>
      </c>
      <c r="M187">
        <v>10</v>
      </c>
      <c r="N187" s="49" t="s">
        <v>71</v>
      </c>
      <c r="O187">
        <v>2016</v>
      </c>
      <c r="P187">
        <v>0.15989999999999999</v>
      </c>
      <c r="Q187" s="10"/>
      <c r="R187" s="11">
        <f>ROUND(Таб[[#This Row],[Зелений Тариф ЕЦ]]+Таб[[#This Row],[Зелений Тариф ЕЦ]]*Таб[[#This Row],[% надбавки]],4)</f>
        <v>0.15989999999999999</v>
      </c>
      <c r="S187" s="12"/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BD1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25.76069997639469</v>
      </c>
      <c r="BE1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44.420209929970895</v>
      </c>
      <c r="BF1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74.940218113148163</v>
      </c>
      <c r="BG1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106.51785034227711</v>
      </c>
      <c r="BH1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131.14538169800929</v>
      </c>
      <c r="BI1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135.98023447950271</v>
      </c>
      <c r="BJ1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138.17102714611693</v>
      </c>
      <c r="BK1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119.43597261782989</v>
      </c>
      <c r="BL1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83.8544779290267</v>
      </c>
      <c r="BM1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53.863281768825246</v>
      </c>
      <c r="BN1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24.929709654575504</v>
      </c>
      <c r="BO1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21.076936344322924</v>
      </c>
      <c r="BP187">
        <f>SUM(Таб[[#This Row],[1]:[12]])</f>
        <v>960.09599999999989</v>
      </c>
    </row>
    <row r="188" spans="2:68" ht="25.5">
      <c r="B188" t="s">
        <v>384</v>
      </c>
      <c r="C188" t="str">
        <f>IFERROR(VLOOKUP(Таб[[#This Row],[Зелений Тариф ЕЦ]],Sheet6!$H$9:$I$29,2,FALSE),"")</f>
        <v>Земля</v>
      </c>
      <c r="D188" s="138"/>
      <c r="E188" s="138"/>
      <c r="F188" s="138" t="s">
        <v>3287</v>
      </c>
      <c r="G188" s="1" t="s">
        <v>507</v>
      </c>
      <c r="H188" t="s">
        <v>198</v>
      </c>
      <c r="I188" t="s">
        <v>509</v>
      </c>
      <c r="J188" s="7">
        <v>0.81799999999999995</v>
      </c>
      <c r="K188" s="8"/>
      <c r="L188" s="8">
        <v>42684</v>
      </c>
      <c r="M188">
        <v>11</v>
      </c>
      <c r="N188" s="49" t="s">
        <v>71</v>
      </c>
      <c r="O188">
        <v>2016</v>
      </c>
      <c r="P188">
        <v>0.15989999999999999</v>
      </c>
      <c r="Q188" s="10"/>
      <c r="R188" s="11">
        <f>ROUND(Таб[[#This Row],[Зелений Тариф ЕЦ]]+Таб[[#This Row],[Зелений Тариф ЕЦ]]*Таб[[#This Row],[% надбавки]],4)</f>
        <v>0.15989999999999999</v>
      </c>
      <c r="S188" s="12"/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BD1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26.340315725863562</v>
      </c>
      <c r="BE1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45.419664653395223</v>
      </c>
      <c r="BF1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76.62637302069399</v>
      </c>
      <c r="BG1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108.91450197497835</v>
      </c>
      <c r="BH1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134.09615278621447</v>
      </c>
      <c r="BI1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139.03978975529151</v>
      </c>
      <c r="BJ1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141.27987525690455</v>
      </c>
      <c r="BK1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122.12328200173104</v>
      </c>
      <c r="BL1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85.741203682429784</v>
      </c>
      <c r="BM1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55.075205608623804</v>
      </c>
      <c r="BN1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25.490628121803447</v>
      </c>
      <c r="BO1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21.551167412070185</v>
      </c>
      <c r="BP188">
        <f>SUM(Таб[[#This Row],[1]:[12]])</f>
        <v>981.69815999999992</v>
      </c>
    </row>
    <row r="189" spans="2:68" ht="51">
      <c r="B189" t="s">
        <v>384</v>
      </c>
      <c r="C189" t="str">
        <f>IFERROR(VLOOKUP(Таб[[#This Row],[Зелений Тариф ЕЦ]],Sheet6!$H$9:$I$29,2,FALSE),"")</f>
        <v>Земля</v>
      </c>
      <c r="G189" s="1" t="s">
        <v>515</v>
      </c>
      <c r="H189" t="s">
        <v>198</v>
      </c>
      <c r="I189" t="s">
        <v>516</v>
      </c>
      <c r="J189" s="7">
        <v>1.002</v>
      </c>
      <c r="K189" s="8"/>
      <c r="L189" s="8">
        <v>41270</v>
      </c>
      <c r="M189">
        <v>12</v>
      </c>
      <c r="N189" s="49" t="s">
        <v>71</v>
      </c>
      <c r="O189">
        <v>2012</v>
      </c>
      <c r="P189">
        <v>0.46529999999999999</v>
      </c>
      <c r="Q189" s="10"/>
      <c r="R189" s="11">
        <f>ROUND(Таб[[#This Row],[Зелений Тариф ЕЦ]]+Таб[[#This Row],[Зелений Тариф ЕЦ]]*Таб[[#This Row],[% надбавки]],4)</f>
        <v>0.46529999999999999</v>
      </c>
      <c r="S189" s="12"/>
      <c r="T189">
        <v>4.2999999999999997E-2</v>
      </c>
      <c r="U189">
        <v>6.0999999999999999E-2</v>
      </c>
      <c r="V189">
        <v>0.108</v>
      </c>
      <c r="W189">
        <v>0.14799999999999999</v>
      </c>
      <c r="X189">
        <v>0.16700000000000004</v>
      </c>
      <c r="Y189">
        <v>0.17799999999999994</v>
      </c>
      <c r="Z189">
        <v>0.16500000000000004</v>
      </c>
      <c r="AA189">
        <v>0.16299999999999992</v>
      </c>
      <c r="AB189">
        <v>0.11899999999999999</v>
      </c>
      <c r="AC189">
        <v>7.1000000000000174E-2</v>
      </c>
      <c r="AD189">
        <v>2.6999999999999913E-2</v>
      </c>
      <c r="AE189">
        <v>2.0999999999999908E-2</v>
      </c>
      <c r="AF189">
        <v>4.4999999999999998E-2</v>
      </c>
      <c r="AG189">
        <v>5.2999999999999999E-2</v>
      </c>
      <c r="AH189">
        <v>9.9000000000000005E-2</v>
      </c>
      <c r="AI189">
        <v>0.17799999999999999</v>
      </c>
      <c r="AJ189">
        <v>0.18</v>
      </c>
      <c r="AK189">
        <v>0.155</v>
      </c>
      <c r="AL189">
        <v>0.16500000000000001</v>
      </c>
      <c r="AM189">
        <v>0.18099999999999999</v>
      </c>
      <c r="AN189">
        <v>0.123</v>
      </c>
      <c r="AO189">
        <v>0.122</v>
      </c>
      <c r="AP189">
        <v>3.2000000000000001E-2</v>
      </c>
      <c r="AQ189">
        <v>1.7000000000000001E-2</v>
      </c>
      <c r="AR189">
        <v>2.7E-2</v>
      </c>
      <c r="AS189">
        <v>5.2999999999999999E-2</v>
      </c>
      <c r="AT189">
        <v>0.109</v>
      </c>
      <c r="AU189">
        <v>0.152</v>
      </c>
      <c r="AV189">
        <v>0.14000000000000001</v>
      </c>
      <c r="AW189">
        <v>0.16700000000000001</v>
      </c>
      <c r="AX189">
        <v>0.159</v>
      </c>
      <c r="AY189">
        <v>0.187</v>
      </c>
      <c r="BD1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32.265276720434343</v>
      </c>
      <c r="BE1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55.636312937288537</v>
      </c>
      <c r="BF1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93.862623186718068</v>
      </c>
      <c r="BG1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133.41360755370209</v>
      </c>
      <c r="BH1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164.25959057675664</v>
      </c>
      <c r="BI1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170.31524368557714</v>
      </c>
      <c r="BJ1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173.05921150051145</v>
      </c>
      <c r="BK1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149.59355570383192</v>
      </c>
      <c r="BL1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105.02773360610593</v>
      </c>
      <c r="BM1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67.463760415453621</v>
      </c>
      <c r="BN1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31.224461342355816</v>
      </c>
      <c r="BO1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26.398862771264458</v>
      </c>
      <c r="BP189">
        <f>SUM(Таб[[#This Row],[1]:[12]])</f>
        <v>1202.5202400000001</v>
      </c>
    </row>
    <row r="190" spans="2:68" ht="25.5">
      <c r="B190" t="s">
        <v>384</v>
      </c>
      <c r="C190" t="str">
        <f>IFERROR(VLOOKUP(Таб[[#This Row],[Зелений Тариф ЕЦ]],Sheet6!$H$9:$I$29,2,FALSE),"")</f>
        <v>Земля</v>
      </c>
      <c r="D190" s="138"/>
      <c r="E190" s="138"/>
      <c r="F190" s="138" t="s">
        <v>3287</v>
      </c>
      <c r="G190" s="1" t="s">
        <v>519</v>
      </c>
      <c r="H190" t="s">
        <v>255</v>
      </c>
      <c r="I190" t="s">
        <v>520</v>
      </c>
      <c r="J190" s="7">
        <v>0.24084134615384614</v>
      </c>
      <c r="K190" s="8"/>
      <c r="L190" s="8">
        <v>41389</v>
      </c>
      <c r="M190">
        <v>4</v>
      </c>
      <c r="N190" s="49" t="s">
        <v>57</v>
      </c>
      <c r="O190">
        <v>2013</v>
      </c>
      <c r="P190">
        <v>0.46529999999999999</v>
      </c>
      <c r="Q190" s="10"/>
      <c r="R190" s="11">
        <f>ROUND(Таб[[#This Row],[Зелений Тариф ЕЦ]]+Таб[[#This Row],[Зелений Тариф ЕЦ]]*Таб[[#This Row],[% надбавки]],4)</f>
        <v>0.46529999999999999</v>
      </c>
      <c r="S190" s="12"/>
      <c r="T190">
        <v>7.3999999999999996E-2</v>
      </c>
      <c r="U190">
        <v>9.1000000000000011E-2</v>
      </c>
      <c r="V190">
        <v>-0.10200000000000001</v>
      </c>
      <c r="W190">
        <v>3.9999999999999994E-2</v>
      </c>
      <c r="X190">
        <v>4.2999999999999997E-2</v>
      </c>
      <c r="Y190">
        <v>4.8000000000000015E-2</v>
      </c>
      <c r="Z190">
        <v>4.7999999999999987E-2</v>
      </c>
      <c r="AA190">
        <v>4.4999999999999984E-2</v>
      </c>
      <c r="AB190">
        <v>3.6000000000000032E-2</v>
      </c>
      <c r="AC190">
        <v>1.7000000000000015E-2</v>
      </c>
      <c r="AD190">
        <v>5.9999999999999498E-3</v>
      </c>
      <c r="AE190">
        <v>4.0000000000000036E-3</v>
      </c>
      <c r="AF190">
        <v>8.9999999999999993E-3</v>
      </c>
      <c r="AG190">
        <v>0.01</v>
      </c>
      <c r="AH190">
        <v>2.1000000000000001E-2</v>
      </c>
      <c r="AI190">
        <v>3.1E-2</v>
      </c>
      <c r="AJ190">
        <v>3.3000000000000002E-2</v>
      </c>
      <c r="AK190">
        <v>2.8000000000000001E-2</v>
      </c>
      <c r="AL190">
        <v>2.8000000000000001E-2</v>
      </c>
      <c r="AM190">
        <v>3.1000000000000003E-2</v>
      </c>
      <c r="AN190">
        <v>2.3E-2</v>
      </c>
      <c r="AO190">
        <v>1.9E-2</v>
      </c>
      <c r="AP190">
        <v>7.0000000000000001E-3</v>
      </c>
      <c r="AQ190">
        <v>4.0000000000000001E-3</v>
      </c>
      <c r="AR190">
        <v>5.0000000000000001E-3</v>
      </c>
      <c r="AS190">
        <v>8.9999999999999993E-3</v>
      </c>
      <c r="AT190">
        <v>2.1000000000000001E-2</v>
      </c>
      <c r="AU190">
        <v>2.7E-2</v>
      </c>
      <c r="AV190">
        <v>2.4E-2</v>
      </c>
      <c r="AW190">
        <v>3.9E-2</v>
      </c>
      <c r="AX190">
        <v>4.7E-2</v>
      </c>
      <c r="AY190">
        <v>4.5999999999999999E-2</v>
      </c>
      <c r="BD1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7.7553020752253108</v>
      </c>
      <c r="BE1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13.372778944963292</v>
      </c>
      <c r="BF1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22.560878764291807</v>
      </c>
      <c r="BG1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32.067378082309929</v>
      </c>
      <c r="BH1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39.481537837510665</v>
      </c>
      <c r="BI1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40.937078402948849</v>
      </c>
      <c r="BJ1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41.596620221663024</v>
      </c>
      <c r="BK1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35.956400530590074</v>
      </c>
      <c r="BL1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25.244531681818458</v>
      </c>
      <c r="BM1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16.215631611834738</v>
      </c>
      <c r="BN1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7.5051310405406237</v>
      </c>
      <c r="BO1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6.3452471524570715</v>
      </c>
      <c r="BP190">
        <f>SUM(Таб[[#This Row],[1]:[12]])</f>
        <v>289.03851634615387</v>
      </c>
    </row>
    <row r="191" spans="2:68" ht="25.5">
      <c r="B191" t="s">
        <v>384</v>
      </c>
      <c r="C191" t="str">
        <f>IFERROR(VLOOKUP(Таб[[#This Row],[Зелений Тариф ЕЦ]],Sheet6!$H$9:$I$29,2,FALSE),"")</f>
        <v>Земля</v>
      </c>
      <c r="D191" s="138"/>
      <c r="E191" s="138"/>
      <c r="F191" s="138" t="s">
        <v>3287</v>
      </c>
      <c r="G191" s="1" t="s">
        <v>519</v>
      </c>
      <c r="H191" t="s">
        <v>198</v>
      </c>
      <c r="I191" t="s">
        <v>520</v>
      </c>
      <c r="J191" s="7">
        <v>1.3484314903846153</v>
      </c>
      <c r="K191" s="8"/>
      <c r="L191" s="8">
        <v>41389</v>
      </c>
      <c r="M191">
        <v>4</v>
      </c>
      <c r="N191" s="49" t="s">
        <v>57</v>
      </c>
      <c r="O191">
        <v>2013</v>
      </c>
      <c r="P191">
        <v>0.33929999999999999</v>
      </c>
      <c r="Q191" s="10"/>
      <c r="R191" s="11">
        <f>ROUND(Таб[[#This Row],[Зелений Тариф ЕЦ]]+Таб[[#This Row],[Зелений Тариф ЕЦ]]*Таб[[#This Row],[% надбавки]],4)</f>
        <v>0.33929999999999999</v>
      </c>
      <c r="S191" s="12"/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5.6000000000000001E-2</v>
      </c>
      <c r="AG191">
        <v>6.0999999999999999E-2</v>
      </c>
      <c r="AH191">
        <v>0.10299999999999999</v>
      </c>
      <c r="AI191">
        <v>0.19800000000000001</v>
      </c>
      <c r="AJ191">
        <v>0.20899999999999999</v>
      </c>
      <c r="AK191">
        <v>0.182</v>
      </c>
      <c r="AL191">
        <v>0.17899999999999999</v>
      </c>
      <c r="AM191">
        <v>0.222</v>
      </c>
      <c r="AN191">
        <v>0.152</v>
      </c>
      <c r="AO191">
        <v>0.14000000000000001</v>
      </c>
      <c r="AP191">
        <v>4.2000000000000003E-2</v>
      </c>
      <c r="AQ191">
        <v>2.5999999999999999E-2</v>
      </c>
      <c r="AR191">
        <v>2.9000000000000001E-2</v>
      </c>
      <c r="AS191">
        <v>5.8000000000000003E-2</v>
      </c>
      <c r="AT191">
        <v>0.13300000000000001</v>
      </c>
      <c r="AU191">
        <v>0.17199999999999999</v>
      </c>
      <c r="AV191">
        <v>0.16</v>
      </c>
      <c r="AW191">
        <v>0.20899999999999999</v>
      </c>
      <c r="AX191">
        <v>0.20200000000000001</v>
      </c>
      <c r="AY191">
        <v>0.20399999999999999</v>
      </c>
      <c r="BD1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43.42067382815101</v>
      </c>
      <c r="BE1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74.87201234883517</v>
      </c>
      <c r="BF1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126.31468750007565</v>
      </c>
      <c r="BG1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179.54002961200268</v>
      </c>
      <c r="BH1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221.05070312513237</v>
      </c>
      <c r="BI1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229.20003780255661</v>
      </c>
      <c r="BJ1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232.89270507826444</v>
      </c>
      <c r="BK1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201.31403320324557</v>
      </c>
      <c r="BL1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141.3400233115766</v>
      </c>
      <c r="BM1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90.788681640679371</v>
      </c>
      <c r="BN1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42.020006930468718</v>
      </c>
      <c r="BO1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35.526005859396278</v>
      </c>
      <c r="BP191">
        <f>SUM(Таб[[#This Row],[1]:[12]])</f>
        <v>1618.2796002403848</v>
      </c>
    </row>
    <row r="192" spans="2:68" ht="25.5">
      <c r="B192" t="s">
        <v>384</v>
      </c>
      <c r="C192" t="str">
        <f>IFERROR(VLOOKUP(Таб[[#This Row],[Зелений Тариф ЕЦ]],Sheet6!$H$9:$I$29,2,FALSE),"")</f>
        <v>Земля</v>
      </c>
      <c r="D192" s="138"/>
      <c r="E192" s="138"/>
      <c r="F192" s="138" t="s">
        <v>3287</v>
      </c>
      <c r="G192" s="1" t="s">
        <v>519</v>
      </c>
      <c r="H192" t="s">
        <v>198</v>
      </c>
      <c r="I192" t="s">
        <v>520</v>
      </c>
      <c r="J192" s="7">
        <v>0.74072716346153844</v>
      </c>
      <c r="K192" s="8"/>
      <c r="L192" s="8">
        <v>42509</v>
      </c>
      <c r="M192">
        <v>5</v>
      </c>
      <c r="N192" s="49" t="s">
        <v>57</v>
      </c>
      <c r="O192">
        <v>2016</v>
      </c>
      <c r="P192">
        <v>0.1696</v>
      </c>
      <c r="Q192" s="10"/>
      <c r="R192" s="11">
        <f>ROUND(Таб[[#This Row],[Зелений Тариф ЕЦ]]+Таб[[#This Row],[Зелений Тариф ЕЦ]]*Таб[[#This Row],[% надбавки]],4)</f>
        <v>0.1696</v>
      </c>
      <c r="S192" s="12"/>
      <c r="T192">
        <v>3.3000000000000002E-2</v>
      </c>
      <c r="U192">
        <v>4.0999999999999995E-2</v>
      </c>
      <c r="V192">
        <v>7.8E-2</v>
      </c>
      <c r="W192">
        <v>9.7000000000000003E-2</v>
      </c>
      <c r="X192">
        <v>0.10599999999999998</v>
      </c>
      <c r="Y192">
        <v>0.11799999999999999</v>
      </c>
      <c r="Z192">
        <v>0.11799999999999999</v>
      </c>
      <c r="AA192">
        <v>0.10899999999999999</v>
      </c>
      <c r="AB192">
        <v>8.6000000000000076E-2</v>
      </c>
      <c r="AC192">
        <v>4.4999999999999929E-2</v>
      </c>
      <c r="AD192">
        <v>2.0000000000000018E-2</v>
      </c>
      <c r="AE192">
        <v>1.6000000000000014E-2</v>
      </c>
      <c r="AF192">
        <v>3.2000000000000001E-2</v>
      </c>
      <c r="AG192">
        <v>3.5000000000000003E-2</v>
      </c>
      <c r="AH192">
        <v>5.8999999999999997E-2</v>
      </c>
      <c r="AI192">
        <v>0.111</v>
      </c>
      <c r="AJ192">
        <v>0.129</v>
      </c>
      <c r="AK192">
        <v>0.10299999999999999</v>
      </c>
      <c r="AL192">
        <v>9.2000000000000012E-2</v>
      </c>
      <c r="AM192">
        <v>0.121</v>
      </c>
      <c r="AN192">
        <v>8.2000000000000003E-2</v>
      </c>
      <c r="AO192">
        <v>6.9000000000000006E-2</v>
      </c>
      <c r="AP192">
        <v>2.1999999999999999E-2</v>
      </c>
      <c r="AQ192">
        <v>1.2999999999999999E-2</v>
      </c>
      <c r="AR192">
        <v>1.4E-2</v>
      </c>
      <c r="AS192">
        <v>3.2000000000000001E-2</v>
      </c>
      <c r="AT192">
        <v>7.3999999999999996E-2</v>
      </c>
      <c r="AU192">
        <v>9.5000000000000001E-2</v>
      </c>
      <c r="AV192">
        <v>8.5999999999999993E-2</v>
      </c>
      <c r="AW192">
        <v>0.11600000000000001</v>
      </c>
      <c r="AX192">
        <v>0.112</v>
      </c>
      <c r="AY192">
        <v>0.111</v>
      </c>
      <c r="BD1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23.852062777873194</v>
      </c>
      <c r="BE1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41.129070127241746</v>
      </c>
      <c r="BF1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69.387818990176555</v>
      </c>
      <c r="BG1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98.625831427569494</v>
      </c>
      <c r="BH1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121.42868323280895</v>
      </c>
      <c r="BI1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125.90531671604617</v>
      </c>
      <c r="BJ1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127.93379126313803</v>
      </c>
      <c r="BK1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110.58683651559389</v>
      </c>
      <c r="BL1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77.641611974895156</v>
      </c>
      <c r="BM1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49.872494899189405</v>
      </c>
      <c r="BN1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23.082641397941799</v>
      </c>
      <c r="BO1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19.515324090987157</v>
      </c>
      <c r="BP192">
        <f>SUM(Таб[[#This Row],[1]:[12]])</f>
        <v>888.96148341346145</v>
      </c>
    </row>
    <row r="193" spans="2:68" ht="25.5">
      <c r="B193" t="s">
        <v>384</v>
      </c>
      <c r="C193" t="str">
        <f>IFERROR(VLOOKUP(Таб[[#This Row],[Зелений Тариф ЕЦ]],Sheet6!$H$9:$I$29,2,FALSE),"")</f>
        <v>Земля</v>
      </c>
      <c r="D193" s="138"/>
      <c r="E193" s="138"/>
      <c r="F193" s="138" t="s">
        <v>3287</v>
      </c>
      <c r="G193" s="1" t="s">
        <v>519</v>
      </c>
      <c r="H193" t="s">
        <v>198</v>
      </c>
      <c r="I193" t="s">
        <v>520</v>
      </c>
      <c r="J193" s="7">
        <v>0.86399999999999999</v>
      </c>
      <c r="K193" s="8"/>
      <c r="L193" s="8">
        <v>42831</v>
      </c>
      <c r="M193">
        <v>4</v>
      </c>
      <c r="N193" s="49" t="s">
        <v>57</v>
      </c>
      <c r="O193">
        <v>2017</v>
      </c>
      <c r="P193">
        <v>0.15989999999999999</v>
      </c>
      <c r="Q193" s="10"/>
      <c r="R193" s="11">
        <f>ROUND(Таб[[#This Row],[Зелений Тариф ЕЦ]]+Таб[[#This Row],[Зелений Тариф ЕЦ]]*Таб[[#This Row],[% надбавки]],4)</f>
        <v>0.15989999999999999</v>
      </c>
      <c r="S193" s="12"/>
      <c r="T193">
        <v>0</v>
      </c>
      <c r="U193">
        <v>0</v>
      </c>
      <c r="V193">
        <v>0</v>
      </c>
      <c r="W193">
        <v>0</v>
      </c>
      <c r="X193">
        <v>0.127</v>
      </c>
      <c r="Y193">
        <v>0.14300000000000002</v>
      </c>
      <c r="Z193">
        <v>0.14199999999999996</v>
      </c>
      <c r="AA193">
        <v>0.13400000000000006</v>
      </c>
      <c r="AB193">
        <v>0.10399999999999998</v>
      </c>
      <c r="AC193">
        <v>5.5999999999999939E-2</v>
      </c>
      <c r="AD193">
        <v>2.5000000000000022E-2</v>
      </c>
      <c r="AE193">
        <v>2.200000000000002E-2</v>
      </c>
      <c r="AF193">
        <v>4.1000000000000002E-2</v>
      </c>
      <c r="AG193">
        <v>4.2999999999999997E-2</v>
      </c>
      <c r="AH193">
        <v>7.1999999999999995E-2</v>
      </c>
      <c r="AI193">
        <v>0.13</v>
      </c>
      <c r="AJ193">
        <v>0.121</v>
      </c>
      <c r="AK193">
        <v>0.104</v>
      </c>
      <c r="AL193">
        <v>0.11199999999999999</v>
      </c>
      <c r="AM193">
        <v>0.124</v>
      </c>
      <c r="AN193">
        <v>9.7000000000000003E-2</v>
      </c>
      <c r="AO193">
        <v>0.09</v>
      </c>
      <c r="AP193">
        <v>0.03</v>
      </c>
      <c r="AQ193">
        <v>1.9E-2</v>
      </c>
      <c r="AR193">
        <v>2.1000000000000001E-2</v>
      </c>
      <c r="AS193">
        <v>4.1000000000000002E-2</v>
      </c>
      <c r="AT193">
        <v>9.0999999999999998E-2</v>
      </c>
      <c r="AU193">
        <v>0.12</v>
      </c>
      <c r="AV193">
        <v>0.107</v>
      </c>
      <c r="AW193">
        <v>0.13600000000000001</v>
      </c>
      <c r="AX193">
        <v>0.129</v>
      </c>
      <c r="AY193">
        <v>0.14099999999999999</v>
      </c>
      <c r="BD1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27.821555974506261</v>
      </c>
      <c r="BE1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47.973826724368557</v>
      </c>
      <c r="BF1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80.935435562200013</v>
      </c>
      <c r="BG1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115.03927836965929</v>
      </c>
      <c r="BH1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141.63701223385004</v>
      </c>
      <c r="BI1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146.85865323786294</v>
      </c>
      <c r="BJ1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149.22470931780629</v>
      </c>
      <c r="BK1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128.99085042725625</v>
      </c>
      <c r="BL1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90.562836163348834</v>
      </c>
      <c r="BM1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58.172344310331255</v>
      </c>
      <c r="BN1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26.924086426941535</v>
      </c>
      <c r="BO1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22.763091251868758</v>
      </c>
      <c r="BP193">
        <f>SUM(Таб[[#This Row],[1]:[12]])</f>
        <v>1036.9036800000001</v>
      </c>
    </row>
    <row r="194" spans="2:68" ht="38.25">
      <c r="B194" t="s">
        <v>384</v>
      </c>
      <c r="C194" t="str">
        <f>IFERROR(VLOOKUP(Таб[[#This Row],[Зелений Тариф ЕЦ]],Sheet6!$H$9:$I$29,2,FALSE),"")</f>
        <v>Земля</v>
      </c>
      <c r="G194" s="1" t="s">
        <v>530</v>
      </c>
      <c r="H194" t="s">
        <v>172</v>
      </c>
      <c r="I194" t="s">
        <v>532</v>
      </c>
      <c r="J194" s="7">
        <v>2.9039999999999999</v>
      </c>
      <c r="K194" s="8"/>
      <c r="L194" s="8">
        <v>43553</v>
      </c>
      <c r="M194">
        <v>3</v>
      </c>
      <c r="N194" s="49" t="s">
        <v>67</v>
      </c>
      <c r="O194">
        <v>2019</v>
      </c>
      <c r="P194">
        <v>0.15029999999999999</v>
      </c>
      <c r="Q194" s="10"/>
      <c r="R194" s="11">
        <f>ROUND(Таб[[#This Row],[Зелений Тариф ЕЦ]]+Таб[[#This Row],[Зелений Тариф ЕЦ]]*Таб[[#This Row],[% надбавки]],4)</f>
        <v>0.15029999999999999</v>
      </c>
      <c r="S194" s="12"/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0.19600000000000001</v>
      </c>
      <c r="AX194">
        <v>0.40100000000000002</v>
      </c>
      <c r="AY194">
        <v>0.44400000000000001</v>
      </c>
      <c r="BD1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93.511340914312697</v>
      </c>
      <c r="BE1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161.24536204579434</v>
      </c>
      <c r="BF1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272.03299175072777</v>
      </c>
      <c r="BG1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386.65979674246603</v>
      </c>
      <c r="BH1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476.05773556377369</v>
      </c>
      <c r="BI1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493.60825116059488</v>
      </c>
      <c r="BJ1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501.56082854040437</v>
      </c>
      <c r="BK1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433.55258060272251</v>
      </c>
      <c r="BL1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304.39175488236685</v>
      </c>
      <c r="BM1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195.52371282083561</v>
      </c>
      <c r="BN1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90.494846046109075</v>
      </c>
      <c r="BO1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76.50927892989219</v>
      </c>
      <c r="BP194">
        <f>SUM(Таб[[#This Row],[1]:[12]])</f>
        <v>3485.1484800000003</v>
      </c>
    </row>
    <row r="195" spans="2:68" ht="25.5">
      <c r="B195" t="s">
        <v>384</v>
      </c>
      <c r="C195" t="str">
        <f>IFERROR(VLOOKUP(Таб[[#This Row],[Зелений Тариф ЕЦ]],Sheet6!$H$9:$I$29,2,FALSE),"")</f>
        <v>Земля</v>
      </c>
      <c r="G195" s="1" t="s">
        <v>534</v>
      </c>
      <c r="H195" t="s">
        <v>82</v>
      </c>
      <c r="I195" t="s">
        <v>535</v>
      </c>
      <c r="J195" s="7">
        <v>13.574999999999999</v>
      </c>
      <c r="K195" s="8"/>
      <c r="L195" s="8">
        <v>43553</v>
      </c>
      <c r="M195">
        <v>3</v>
      </c>
      <c r="N195" s="49" t="s">
        <v>67</v>
      </c>
      <c r="O195">
        <v>2019</v>
      </c>
      <c r="P195">
        <v>0.15029999999999999</v>
      </c>
      <c r="Q195" s="10"/>
      <c r="R195" s="11">
        <f>ROUND(Таб[[#This Row],[Зелений Тариф ЕЦ]]+Таб[[#This Row],[Зелений Тариф ЕЦ]]*Таб[[#This Row],[% надбавки]],4)</f>
        <v>0.15029999999999999</v>
      </c>
      <c r="S195" s="12"/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1.6919999999999999</v>
      </c>
      <c r="AV195">
        <v>2.0169999999999999</v>
      </c>
      <c r="AW195">
        <v>2.0259999999999998</v>
      </c>
      <c r="AX195">
        <v>2.0510000000000002</v>
      </c>
      <c r="AY195">
        <v>2.1819999999999999</v>
      </c>
      <c r="BD1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437.1268777244473</v>
      </c>
      <c r="BE1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753.75543724919339</v>
      </c>
      <c r="BF1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1271.6418261074828</v>
      </c>
      <c r="BG1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1807.474772995515</v>
      </c>
      <c r="BH1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2225.3731956880947</v>
      </c>
      <c r="BI1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2307.4146038240619</v>
      </c>
      <c r="BJ1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2344.5896168856716</v>
      </c>
      <c r="BK1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2026.679160358801</v>
      </c>
      <c r="BL1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1422.9056723581714</v>
      </c>
      <c r="BM1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913.99256251475322</v>
      </c>
      <c r="BN1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423.02601070107801</v>
      </c>
      <c r="BO1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357.64926359272954</v>
      </c>
      <c r="BP195">
        <f>SUM(Таб[[#This Row],[1]:[12]])</f>
        <v>16291.629000000001</v>
      </c>
    </row>
    <row r="196" spans="2:68" ht="38.25">
      <c r="B196" t="s">
        <v>384</v>
      </c>
      <c r="C196" t="str">
        <f>IFERROR(VLOOKUP(Таб[[#This Row],[Зелений Тариф ЕЦ]],Sheet6!$H$9:$I$29,2,FALSE),"")</f>
        <v>Земля</v>
      </c>
      <c r="G196" s="1" t="s">
        <v>537</v>
      </c>
      <c r="H196" t="s">
        <v>73</v>
      </c>
      <c r="I196" t="s">
        <v>538</v>
      </c>
      <c r="J196" s="7">
        <v>1.149</v>
      </c>
      <c r="K196" s="8"/>
      <c r="L196" s="8">
        <v>43130</v>
      </c>
      <c r="M196">
        <v>1</v>
      </c>
      <c r="N196" s="49" t="s">
        <v>67</v>
      </c>
      <c r="O196">
        <v>2018</v>
      </c>
      <c r="P196">
        <v>0.15029999999999999</v>
      </c>
      <c r="Q196" s="10"/>
      <c r="R196" s="11">
        <f>ROUND(Таб[[#This Row],[Зелений Тариф ЕЦ]]+Таб[[#This Row],[Зелений Тариф ЕЦ]]*Таб[[#This Row],[% надбавки]],4)</f>
        <v>0.15029999999999999</v>
      </c>
      <c r="S196" s="12"/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7.0000000000000007E-2</v>
      </c>
      <c r="AG196">
        <v>0.05</v>
      </c>
      <c r="AH196">
        <v>9.1999999999999998E-2</v>
      </c>
      <c r="AI196">
        <v>0.19</v>
      </c>
      <c r="AJ196">
        <v>0.19700000000000001</v>
      </c>
      <c r="AK196">
        <v>0.192</v>
      </c>
      <c r="AL196">
        <v>0.30299999999999999</v>
      </c>
      <c r="AM196">
        <v>0.35399999999999998</v>
      </c>
      <c r="AN196">
        <v>0.249</v>
      </c>
      <c r="AO196">
        <v>0.34499999999999997</v>
      </c>
      <c r="AP196">
        <v>0.17499999999999999</v>
      </c>
      <c r="AQ196">
        <v>0.08</v>
      </c>
      <c r="AR196">
        <v>0.108</v>
      </c>
      <c r="AS196">
        <v>0.222</v>
      </c>
      <c r="AT196">
        <v>0.54</v>
      </c>
      <c r="AU196">
        <v>0.623</v>
      </c>
      <c r="AV196">
        <v>0.65400000000000003</v>
      </c>
      <c r="AW196">
        <v>0.92700000000000005</v>
      </c>
      <c r="AX196">
        <v>0.95099999999999996</v>
      </c>
      <c r="AY196">
        <v>0.95299999999999996</v>
      </c>
      <c r="BD1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36.998805341096869</v>
      </c>
      <c r="BE1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63.798526511920691</v>
      </c>
      <c r="BF1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107.63288826500904</v>
      </c>
      <c r="BG1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152.98626255409553</v>
      </c>
      <c r="BH1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188.35755446376581</v>
      </c>
      <c r="BI1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195.30161177118578</v>
      </c>
      <c r="BJ1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198.44813773861046</v>
      </c>
      <c r="BK1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171.53991567235818</v>
      </c>
      <c r="BL1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120.43599392556459</v>
      </c>
      <c r="BM1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77.361138440475258</v>
      </c>
      <c r="BN1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35.805295491384065</v>
      </c>
      <c r="BO1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30.271749824533799</v>
      </c>
      <c r="BP196">
        <f>SUM(Таб[[#This Row],[1]:[12]])</f>
        <v>1378.93788</v>
      </c>
    </row>
    <row r="197" spans="2:68" ht="38.25">
      <c r="B197" t="s">
        <v>384</v>
      </c>
      <c r="C197" t="str">
        <f>IFERROR(VLOOKUP(Таб[[#This Row],[Зелений Тариф ЕЦ]],Sheet6!$H$9:$I$29,2,FALSE),"")</f>
        <v>Земля</v>
      </c>
      <c r="G197" s="1" t="s">
        <v>537</v>
      </c>
      <c r="H197" t="s">
        <v>73</v>
      </c>
      <c r="I197" t="s">
        <v>538</v>
      </c>
      <c r="J197" s="7">
        <v>0.9</v>
      </c>
      <c r="K197" s="8"/>
      <c r="L197" s="8">
        <v>43277</v>
      </c>
      <c r="M197">
        <v>6</v>
      </c>
      <c r="N197" s="49" t="s">
        <v>57</v>
      </c>
      <c r="O197">
        <v>2018</v>
      </c>
      <c r="P197">
        <v>0.15029999999999999</v>
      </c>
      <c r="Q197" s="10"/>
      <c r="R197" s="11">
        <f>ROUND(Таб[[#This Row],[Зелений Тариф ЕЦ]]+Таб[[#This Row],[Зелений Тариф ЕЦ]]*Таб[[#This Row],[% надбавки]],4)</f>
        <v>0.15029999999999999</v>
      </c>
      <c r="S197" s="12"/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BD1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28.980787473444021</v>
      </c>
      <c r="BE1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49.972736171217257</v>
      </c>
      <c r="BF1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84.307745377291681</v>
      </c>
      <c r="BG1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119.83258163506176</v>
      </c>
      <c r="BH1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147.53855441026045</v>
      </c>
      <c r="BI1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152.97776378944056</v>
      </c>
      <c r="BJ1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155.44240553938155</v>
      </c>
      <c r="BK1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134.36546919505864</v>
      </c>
      <c r="BL1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94.336287670155031</v>
      </c>
      <c r="BM1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60.5961919899284</v>
      </c>
      <c r="BN1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28.045923361397435</v>
      </c>
      <c r="BO1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23.711553387363288</v>
      </c>
      <c r="BP197">
        <f>SUM(Таб[[#This Row],[1]:[12]])</f>
        <v>1080.1079999999999</v>
      </c>
    </row>
    <row r="198" spans="2:68" ht="38.25">
      <c r="B198" t="s">
        <v>384</v>
      </c>
      <c r="C198" t="str">
        <f>IFERROR(VLOOKUP(Таб[[#This Row],[Зелений Тариф ЕЦ]],Sheet6!$H$9:$I$29,2,FALSE),"")</f>
        <v>Земля</v>
      </c>
      <c r="G198" s="1" t="s">
        <v>537</v>
      </c>
      <c r="H198" t="s">
        <v>73</v>
      </c>
      <c r="I198" t="s">
        <v>538</v>
      </c>
      <c r="J198" s="7">
        <v>1.956</v>
      </c>
      <c r="K198" s="8"/>
      <c r="L198" s="8">
        <v>43389</v>
      </c>
      <c r="M198">
        <v>10</v>
      </c>
      <c r="N198" s="49" t="s">
        <v>71</v>
      </c>
      <c r="O198">
        <v>2018</v>
      </c>
      <c r="P198">
        <v>0.15029999999999999</v>
      </c>
      <c r="Q198" s="10"/>
      <c r="R198" s="11">
        <f>ROUND(Таб[[#This Row],[Зелений Тариф ЕЦ]]+Таб[[#This Row],[Зелений Тариф ЕЦ]]*Таб[[#This Row],[% надбавки]],4)</f>
        <v>0.15029999999999999</v>
      </c>
      <c r="S198" s="12"/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BD1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62.984911442284996</v>
      </c>
      <c r="BE1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108.60741327877882</v>
      </c>
      <c r="BF1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183.22883328664727</v>
      </c>
      <c r="BG1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260.43614408686756</v>
      </c>
      <c r="BH1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320.6504582516327</v>
      </c>
      <c r="BI1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332.47167330238415</v>
      </c>
      <c r="BJ1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337.82816137225586</v>
      </c>
      <c r="BK1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292.02095305059407</v>
      </c>
      <c r="BL1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205.02419853647027</v>
      </c>
      <c r="BM1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131.6957239247777</v>
      </c>
      <c r="BN1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60.9531401054371</v>
      </c>
      <c r="BO1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51.533109361869549</v>
      </c>
      <c r="BP198">
        <f>SUM(Таб[[#This Row],[1]:[12]])</f>
        <v>2347.4347199999997</v>
      </c>
    </row>
    <row r="199" spans="2:68" ht="38.25">
      <c r="B199" t="s">
        <v>384</v>
      </c>
      <c r="C199" t="str">
        <f>IFERROR(VLOOKUP(Таб[[#This Row],[Зелений Тариф ЕЦ]],Sheet6!$H$9:$I$29,2,FALSE),"")</f>
        <v>Земля</v>
      </c>
      <c r="G199" s="1" t="s">
        <v>537</v>
      </c>
      <c r="H199" t="s">
        <v>73</v>
      </c>
      <c r="I199" t="s">
        <v>111</v>
      </c>
      <c r="J199" s="7">
        <v>1.7709999999999999</v>
      </c>
      <c r="K199" s="8"/>
      <c r="L199" s="8">
        <v>43602</v>
      </c>
      <c r="M199">
        <v>5</v>
      </c>
      <c r="N199" s="49" t="s">
        <v>57</v>
      </c>
      <c r="O199">
        <v>2019</v>
      </c>
      <c r="P199">
        <v>0.15029999999999999</v>
      </c>
      <c r="Q199" s="10"/>
      <c r="R199" s="11">
        <f>ROUND(Таб[[#This Row],[Зелений Тариф ЕЦ]]+Таб[[#This Row],[Зелений Тариф ЕЦ]]*Таб[[#This Row],[% надбавки]],4)</f>
        <v>0.15029999999999999</v>
      </c>
      <c r="S199" s="12"/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BD1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57.02774957274373</v>
      </c>
      <c r="BE1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98.335239732473042</v>
      </c>
      <c r="BF1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165.89890784798172</v>
      </c>
      <c r="BG1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235.80389119521595</v>
      </c>
      <c r="BH1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290.32308873396806</v>
      </c>
      <c r="BI1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301.02624407899907</v>
      </c>
      <c r="BJ1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305.87611134471626</v>
      </c>
      <c r="BK1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264.40138438272089</v>
      </c>
      <c r="BL1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185.63285051538281</v>
      </c>
      <c r="BM1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119.23984001573686</v>
      </c>
      <c r="BN1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55.188144747816509</v>
      </c>
      <c r="BO1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46.659067832244872</v>
      </c>
      <c r="BP199">
        <f>SUM(Таб[[#This Row],[1]:[12]])</f>
        <v>2125.4125199999999</v>
      </c>
    </row>
    <row r="200" spans="2:68" ht="38.25">
      <c r="B200" t="s">
        <v>384</v>
      </c>
      <c r="C200" t="str">
        <f>IFERROR(VLOOKUP(Таб[[#This Row],[Зелений Тариф ЕЦ]],Sheet6!$H$9:$I$29,2,FALSE),"")</f>
        <v>Земля</v>
      </c>
      <c r="G200" s="1" t="s">
        <v>543</v>
      </c>
      <c r="H200" t="s">
        <v>122</v>
      </c>
      <c r="I200" t="s">
        <v>544</v>
      </c>
      <c r="J200" s="7">
        <v>0.85499999999999998</v>
      </c>
      <c r="K200" s="8"/>
      <c r="L200" s="8">
        <v>43410</v>
      </c>
      <c r="M200">
        <v>11</v>
      </c>
      <c r="N200" s="49" t="s">
        <v>71</v>
      </c>
      <c r="O200">
        <v>2018</v>
      </c>
      <c r="P200">
        <v>0.15029999999999999</v>
      </c>
      <c r="Q200" s="10"/>
      <c r="R200" s="11">
        <f>ROUND(Таб[[#This Row],[Зелений Тариф ЕЦ]]+Таб[[#This Row],[Зелений Тариф ЕЦ]]*Таб[[#This Row],[% надбавки]],4)</f>
        <v>0.15029999999999999</v>
      </c>
      <c r="S200" s="12"/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0.21</v>
      </c>
      <c r="AX200">
        <v>0.21199999999999999</v>
      </c>
      <c r="AY200">
        <v>0.19900000000000001</v>
      </c>
      <c r="BD2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27.531748099771818</v>
      </c>
      <c r="BE2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47.474099362656389</v>
      </c>
      <c r="BF2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80.092358108427092</v>
      </c>
      <c r="BG2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113.84095255330868</v>
      </c>
      <c r="BH2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140.16162668974744</v>
      </c>
      <c r="BI2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145.32887559996854</v>
      </c>
      <c r="BJ2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147.67028526241245</v>
      </c>
      <c r="BK2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127.64719573530567</v>
      </c>
      <c r="BL2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89.619473286647263</v>
      </c>
      <c r="BM2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57.566382390431968</v>
      </c>
      <c r="BN2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26.643627193327568</v>
      </c>
      <c r="BO2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22.525975717995124</v>
      </c>
      <c r="BP200">
        <f>SUM(Таб[[#This Row],[1]:[12]])</f>
        <v>1026.1025999999999</v>
      </c>
    </row>
    <row r="201" spans="2:68" ht="38.25">
      <c r="B201" t="s">
        <v>384</v>
      </c>
      <c r="C201" t="str">
        <f>IFERROR(VLOOKUP(Таб[[#This Row],[Зелений Тариф ЕЦ]],Sheet6!$H$9:$I$29,2,FALSE),"")</f>
        <v>Земля</v>
      </c>
      <c r="G201" s="1" t="s">
        <v>543</v>
      </c>
      <c r="H201" t="s">
        <v>122</v>
      </c>
      <c r="I201" t="s">
        <v>544</v>
      </c>
      <c r="J201" s="7">
        <v>0.42699999999999999</v>
      </c>
      <c r="K201" s="8"/>
      <c r="L201" s="8">
        <v>43550</v>
      </c>
      <c r="M201">
        <v>3</v>
      </c>
      <c r="N201" s="49" t="s">
        <v>67</v>
      </c>
      <c r="O201">
        <v>2019</v>
      </c>
      <c r="P201">
        <v>0.15029999999999999</v>
      </c>
      <c r="Q201" s="10"/>
      <c r="R201" s="11">
        <f>ROUND(Таб[[#This Row],[Зелений Тариф ЕЦ]]+Таб[[#This Row],[Зелений Тариф ЕЦ]]*Таб[[#This Row],[% надбавки]],4)</f>
        <v>0.15029999999999999</v>
      </c>
      <c r="S201" s="12"/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BD2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13.749773612400663</v>
      </c>
      <c r="BE2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23.709287050121961</v>
      </c>
      <c r="BF2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39.999341417892836</v>
      </c>
      <c r="BG2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56.853902620190411</v>
      </c>
      <c r="BH2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69.998847481312453</v>
      </c>
      <c r="BI2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72.579450153434578</v>
      </c>
      <c r="BJ2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73.748785739239906</v>
      </c>
      <c r="BK2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63.748950384766701</v>
      </c>
      <c r="BL2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44.75732759461799</v>
      </c>
      <c r="BM2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28.749526644110471</v>
      </c>
      <c r="BN2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13.306232528129673</v>
      </c>
      <c r="BO2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11.249814773782358</v>
      </c>
      <c r="BP201">
        <f>SUM(Таб[[#This Row],[1]:[12]])</f>
        <v>512.45123999999998</v>
      </c>
    </row>
    <row r="202" spans="2:68" ht="51">
      <c r="B202" t="s">
        <v>384</v>
      </c>
      <c r="C202" t="str">
        <f>IFERROR(VLOOKUP(Таб[[#This Row],[Зелений Тариф ЕЦ]],Sheet6!$H$9:$I$29,2,FALSE),"")</f>
        <v>Земля</v>
      </c>
      <c r="G202" s="1" t="s">
        <v>546</v>
      </c>
      <c r="H202" t="s">
        <v>82</v>
      </c>
      <c r="I202" t="s">
        <v>535</v>
      </c>
      <c r="J202" s="7">
        <v>5.1150000000000002</v>
      </c>
      <c r="K202" s="8"/>
      <c r="L202" s="8">
        <v>43441</v>
      </c>
      <c r="M202">
        <v>12</v>
      </c>
      <c r="N202" s="49" t="s">
        <v>71</v>
      </c>
      <c r="O202">
        <v>2018</v>
      </c>
      <c r="P202">
        <v>0.15029999999999999</v>
      </c>
      <c r="Q202" s="10"/>
      <c r="R202" s="11">
        <f>ROUND(Таб[[#This Row],[Зелений Тариф ЕЦ]]+Таб[[#This Row],[Зелений Тариф ЕЦ]]*Таб[[#This Row],[% надбавки]],4)</f>
        <v>0.15029999999999999</v>
      </c>
      <c r="S202" s="12"/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9.2999999999999999E-2</v>
      </c>
      <c r="AT202">
        <v>0.66600000000000004</v>
      </c>
      <c r="AU202">
        <v>0.81299999999999994</v>
      </c>
      <c r="AV202">
        <v>0.72399999999999998</v>
      </c>
      <c r="AW202">
        <v>0.79300000000000004</v>
      </c>
      <c r="AX202">
        <v>0.83099999999999996</v>
      </c>
      <c r="AY202">
        <v>0.85599999999999998</v>
      </c>
      <c r="BD2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164.70747547407353</v>
      </c>
      <c r="BE2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284.01171723975136</v>
      </c>
      <c r="BF2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479.14901956094116</v>
      </c>
      <c r="BG2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681.04850562593435</v>
      </c>
      <c r="BH2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838.51078423164699</v>
      </c>
      <c r="BI2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869.4236242033204</v>
      </c>
      <c r="BJ2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883.43100481548515</v>
      </c>
      <c r="BK2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763.64374992524995</v>
      </c>
      <c r="BL2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536.14456825871446</v>
      </c>
      <c r="BM2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344.3883578094264</v>
      </c>
      <c r="BN2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159.39433110394214</v>
      </c>
      <c r="BO2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134.7606617515147</v>
      </c>
      <c r="BP202">
        <f>SUM(Таб[[#This Row],[1]:[12]])</f>
        <v>6138.6138000000001</v>
      </c>
    </row>
    <row r="203" spans="2:68" ht="38.25">
      <c r="B203" t="s">
        <v>384</v>
      </c>
      <c r="C203" t="str">
        <f>IFERROR(VLOOKUP(Таб[[#This Row],[Зелений Тариф ЕЦ]],Sheet6!$H$9:$I$29,2,FALSE),"")</f>
        <v>Земля</v>
      </c>
      <c r="D203" t="s">
        <v>3368</v>
      </c>
      <c r="E203" t="s">
        <v>3368</v>
      </c>
      <c r="F203" t="s">
        <v>3369</v>
      </c>
      <c r="G203" s="139" t="s">
        <v>548</v>
      </c>
      <c r="H203" t="s">
        <v>82</v>
      </c>
      <c r="I203" t="s">
        <v>93</v>
      </c>
      <c r="J203" s="7">
        <v>53.398000000000003</v>
      </c>
      <c r="K203" s="8"/>
      <c r="L203" s="8">
        <v>41690</v>
      </c>
      <c r="M203">
        <v>2</v>
      </c>
      <c r="N203" s="49" t="s">
        <v>67</v>
      </c>
      <c r="O203">
        <v>2014</v>
      </c>
      <c r="P203">
        <v>0.25850000000000001</v>
      </c>
      <c r="Q203" s="10"/>
      <c r="R203" s="11">
        <f>ROUND(Таб[[#This Row],[Зелений Тариф ЕЦ]]+Таб[[#This Row],[Зелений Тариф ЕЦ]]*Таб[[#This Row],[% надбавки]],4)</f>
        <v>0.25850000000000001</v>
      </c>
      <c r="S203" s="12"/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8.093</v>
      </c>
      <c r="AM203">
        <v>9.359</v>
      </c>
      <c r="AN203">
        <v>5.0250000000000004</v>
      </c>
      <c r="AO203">
        <v>6.5910000000000002</v>
      </c>
      <c r="AP203">
        <v>2.5750000000000002</v>
      </c>
      <c r="AQ203">
        <v>1.0289999999999999</v>
      </c>
      <c r="AR203">
        <v>1.99</v>
      </c>
      <c r="AS203">
        <v>2.9969999999999999</v>
      </c>
      <c r="AT203">
        <v>7.1360000000000001</v>
      </c>
      <c r="AU203">
        <v>6.7290000000000001</v>
      </c>
      <c r="AV203">
        <v>8.0440000000000005</v>
      </c>
      <c r="AW203">
        <v>8.5009999999999994</v>
      </c>
      <c r="AX203">
        <v>8.1880000000000006</v>
      </c>
      <c r="AY203">
        <v>8.7859999999999996</v>
      </c>
      <c r="BD2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1719.4623216744044</v>
      </c>
      <c r="BE2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2964.9379623007317</v>
      </c>
      <c r="BF2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5002.0722085073576</v>
      </c>
      <c r="BG2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7109.8002157211431</v>
      </c>
      <c r="BH2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8753.6263648878758</v>
      </c>
      <c r="BI2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9076.3407009206094</v>
      </c>
      <c r="BJ2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9222.5706344354403</v>
      </c>
      <c r="BK2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7972.0525823086009</v>
      </c>
      <c r="BL2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5597.0767655677082</v>
      </c>
      <c r="BM2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3595.239399864663</v>
      </c>
      <c r="BN2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1663.9957951687784</v>
      </c>
      <c r="BO2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1406.8328086426943</v>
      </c>
      <c r="BP203">
        <f>SUM(Таб[[#This Row],[1]:[12]])</f>
        <v>64084.007760000008</v>
      </c>
    </row>
    <row r="204" spans="2:68" ht="38.25">
      <c r="B204" t="s">
        <v>384</v>
      </c>
      <c r="C204" t="str">
        <f>IFERROR(VLOOKUP(Таб[[#This Row],[Зелений Тариф ЕЦ]],Sheet6!$H$9:$I$29,2,FALSE),"")</f>
        <v>Земля</v>
      </c>
      <c r="D204" t="s">
        <v>3378</v>
      </c>
      <c r="E204" t="s">
        <v>3378</v>
      </c>
      <c r="F204" t="s">
        <v>3379</v>
      </c>
      <c r="G204" s="1" t="s">
        <v>550</v>
      </c>
      <c r="H204" t="s">
        <v>176</v>
      </c>
      <c r="I204" t="s">
        <v>552</v>
      </c>
      <c r="J204" s="7">
        <v>19.094000000000001</v>
      </c>
      <c r="K204" s="8"/>
      <c r="L204" s="8">
        <v>43508</v>
      </c>
      <c r="M204">
        <v>2</v>
      </c>
      <c r="N204" s="49" t="s">
        <v>67</v>
      </c>
      <c r="O204">
        <v>2019</v>
      </c>
      <c r="P204">
        <v>0.15029999999999999</v>
      </c>
      <c r="Q204" s="10"/>
      <c r="R204" s="11">
        <f>ROUND(Таб[[#This Row],[Зелений Тариф ЕЦ]]+Таб[[#This Row],[Зелений Тариф ЕЦ]]*Таб[[#This Row],[% надбавки]],4)</f>
        <v>0.15029999999999999</v>
      </c>
      <c r="S204" s="12"/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2.2469999999999999</v>
      </c>
      <c r="AV204">
        <v>2.3660000000000001</v>
      </c>
      <c r="AW204">
        <v>3.22</v>
      </c>
      <c r="AX204">
        <v>2.8929999999999998</v>
      </c>
      <c r="AY204">
        <v>3.0310000000000001</v>
      </c>
      <c r="BD2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614.84350668660022</v>
      </c>
      <c r="BE2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1060.1993605035802</v>
      </c>
      <c r="BF2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1788.635655815564</v>
      </c>
      <c r="BG2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2542.3147930442997</v>
      </c>
      <c r="BH2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3130.1123976772365</v>
      </c>
      <c r="BI2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3245.5082464395309</v>
      </c>
      <c r="BJ2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3297.7969904099459</v>
      </c>
      <c r="BK2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2850.6380764560549</v>
      </c>
      <c r="BL2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2001.3967519710445</v>
      </c>
      <c r="BM2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1285.5818776174365</v>
      </c>
      <c r="BN2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595.00984518058078</v>
      </c>
      <c r="BO2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503.05377819812736</v>
      </c>
      <c r="BP204">
        <f>SUM(Таб[[#This Row],[1]:[12]])</f>
        <v>22915.091280000001</v>
      </c>
    </row>
    <row r="205" spans="2:68" ht="38.25">
      <c r="B205" t="s">
        <v>384</v>
      </c>
      <c r="C205" t="str">
        <f>IFERROR(VLOOKUP(Таб[[#This Row],[Зелений Тариф ЕЦ]],Sheet6!$H$9:$I$29,2,FALSE),"")</f>
        <v>Земля</v>
      </c>
      <c r="G205" s="1" t="s">
        <v>554</v>
      </c>
      <c r="H205" t="s">
        <v>62</v>
      </c>
      <c r="I205" t="s">
        <v>555</v>
      </c>
      <c r="J205" s="7">
        <v>3.0249999999999999</v>
      </c>
      <c r="K205" s="8"/>
      <c r="L205" s="8">
        <v>43522</v>
      </c>
      <c r="M205">
        <v>2</v>
      </c>
      <c r="N205" s="49" t="s">
        <v>67</v>
      </c>
      <c r="O205">
        <v>2019</v>
      </c>
      <c r="P205">
        <v>0.15029999999999999</v>
      </c>
      <c r="Q205" s="10"/>
      <c r="R205" s="11">
        <f>ROUND(Таб[[#This Row],[Зелений Тариф ЕЦ]]+Таб[[#This Row],[Зелений Тариф ЕЦ]]*Таб[[#This Row],[% надбавки]],4)</f>
        <v>0.15029999999999999</v>
      </c>
      <c r="S205" s="12"/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6.6000000000000003E-2</v>
      </c>
      <c r="AT205">
        <v>0.28799999999999998</v>
      </c>
      <c r="AU205">
        <v>0.36399999999999999</v>
      </c>
      <c r="AV205">
        <v>0.35399999999999998</v>
      </c>
      <c r="AW205">
        <v>0.48899999999999999</v>
      </c>
      <c r="AX205">
        <v>0.46700000000000003</v>
      </c>
      <c r="AY205">
        <v>0.436</v>
      </c>
      <c r="BD2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97.407646785742386</v>
      </c>
      <c r="BE2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167.96391879770243</v>
      </c>
      <c r="BF2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283.36769974034144</v>
      </c>
      <c r="BG2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402.77062160673535</v>
      </c>
      <c r="BH2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495.89347454559766</v>
      </c>
      <c r="BI2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514.17526162561967</v>
      </c>
      <c r="BJ2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522.45919639625458</v>
      </c>
      <c r="BK2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451.6172714611692</v>
      </c>
      <c r="BL2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317.07474466913209</v>
      </c>
      <c r="BM2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203.67053418837042</v>
      </c>
      <c r="BN2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94.265464631363599</v>
      </c>
      <c r="BO2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79.697165551971054</v>
      </c>
      <c r="BP205">
        <f>SUM(Таб[[#This Row],[1]:[12]])</f>
        <v>3630.3629999999998</v>
      </c>
    </row>
    <row r="206" spans="2:68" ht="25.5">
      <c r="B206" t="s">
        <v>384</v>
      </c>
      <c r="C206" t="str">
        <f>IFERROR(VLOOKUP(Таб[[#This Row],[Зелений Тариф ЕЦ]],Sheet6!$H$9:$I$29,2,FALSE),"")</f>
        <v>Земля</v>
      </c>
      <c r="G206" s="1" t="s">
        <v>558</v>
      </c>
      <c r="H206" t="s">
        <v>73</v>
      </c>
      <c r="I206" t="s">
        <v>538</v>
      </c>
      <c r="J206" s="7">
        <v>4.0369999999999999</v>
      </c>
      <c r="K206" s="8"/>
      <c r="L206" s="8">
        <v>43455</v>
      </c>
      <c r="M206">
        <v>12</v>
      </c>
      <c r="N206" s="49" t="s">
        <v>71</v>
      </c>
      <c r="O206">
        <v>2018</v>
      </c>
      <c r="P206">
        <v>0.15029999999999999</v>
      </c>
      <c r="Q206" s="10"/>
      <c r="R206" s="11">
        <f>ROUND(Таб[[#This Row],[Зелений Тариф ЕЦ]]+Таб[[#This Row],[Зелений Тариф ЕЦ]]*Таб[[#This Row],[% надбавки]],4)</f>
        <v>0.15029999999999999</v>
      </c>
      <c r="S206" s="12"/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0.222</v>
      </c>
      <c r="AT206">
        <v>0.54300000000000004</v>
      </c>
      <c r="AU206">
        <v>0.61199999999999999</v>
      </c>
      <c r="AV206">
        <v>0.66</v>
      </c>
      <c r="AW206">
        <v>0.64800000000000002</v>
      </c>
      <c r="AX206">
        <v>0.67</v>
      </c>
      <c r="AY206">
        <v>0.67500000000000004</v>
      </c>
      <c r="BD2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129.99493225588168</v>
      </c>
      <c r="BE2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224.15548435911558</v>
      </c>
      <c r="BF2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378.16707565347394</v>
      </c>
      <c r="BG2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537.51570228971593</v>
      </c>
      <c r="BH2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661.79238239357937</v>
      </c>
      <c r="BI2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686.19025824219057</v>
      </c>
      <c r="BJ2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697.24554573609248</v>
      </c>
      <c r="BK2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602.70377682272397</v>
      </c>
      <c r="BL2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423.15065924935095</v>
      </c>
      <c r="BM2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271.80758562593434</v>
      </c>
      <c r="BN2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125.80154734440163</v>
      </c>
      <c r="BO2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106.35949002753954</v>
      </c>
      <c r="BP206">
        <f>SUM(Таб[[#This Row],[1]:[12]])</f>
        <v>4844.8844400000007</v>
      </c>
    </row>
    <row r="207" spans="2:68" ht="38.25">
      <c r="B207" t="s">
        <v>384</v>
      </c>
      <c r="C207" t="str">
        <f>IFERROR(VLOOKUP(Таб[[#This Row],[Зелений Тариф ЕЦ]],Sheet6!$H$9:$I$29,2,FALSE),"")</f>
        <v>Земля</v>
      </c>
      <c r="G207" s="1" t="s">
        <v>562</v>
      </c>
      <c r="H207" t="s">
        <v>65</v>
      </c>
      <c r="I207" t="s">
        <v>247</v>
      </c>
      <c r="J207" s="7">
        <v>3.9929999999999999</v>
      </c>
      <c r="K207" s="8"/>
      <c r="L207" s="8">
        <v>41578</v>
      </c>
      <c r="M207">
        <v>10</v>
      </c>
      <c r="N207" s="49" t="s">
        <v>71</v>
      </c>
      <c r="O207">
        <v>2013</v>
      </c>
      <c r="P207">
        <v>0.33929999999999999</v>
      </c>
      <c r="Q207" s="10"/>
      <c r="R207" s="11">
        <f>ROUND(Таб[[#This Row],[Зелений Тариф ЕЦ]]+Таб[[#This Row],[Зелений Тариф ЕЦ]]*Таб[[#This Row],[% надбавки]],4)</f>
        <v>0.33929999999999999</v>
      </c>
      <c r="S207" s="12"/>
      <c r="T207">
        <v>0.151</v>
      </c>
      <c r="U207">
        <v>0.25700000000000001</v>
      </c>
      <c r="V207">
        <v>0.29199999999999998</v>
      </c>
      <c r="W207">
        <v>0.44799999999999995</v>
      </c>
      <c r="X207">
        <v>0.502</v>
      </c>
      <c r="Y207">
        <v>0.58000000000000007</v>
      </c>
      <c r="Z207">
        <v>0.60099999999999998</v>
      </c>
      <c r="AA207">
        <v>0.56499999999999995</v>
      </c>
      <c r="AB207">
        <v>0.38700000000000001</v>
      </c>
      <c r="AC207">
        <v>0.30399999999999983</v>
      </c>
      <c r="AD207">
        <v>9.6000000000000085E-2</v>
      </c>
      <c r="AE207">
        <v>7.8999999999999737E-2</v>
      </c>
      <c r="AF207">
        <v>0.13400000000000001</v>
      </c>
      <c r="AG207">
        <v>0.112</v>
      </c>
      <c r="AH207">
        <v>0.28599999999999998</v>
      </c>
      <c r="AI207">
        <v>0.55900000000000005</v>
      </c>
      <c r="AJ207">
        <v>0.59399999999999997</v>
      </c>
      <c r="AK207">
        <v>0.46</v>
      </c>
      <c r="AL207">
        <v>0.49099999999999999</v>
      </c>
      <c r="AM207">
        <v>0.54700000000000004</v>
      </c>
      <c r="AN207">
        <v>0.45800000000000002</v>
      </c>
      <c r="AO207">
        <v>0.318</v>
      </c>
      <c r="AP207">
        <v>8.5999999999999993E-2</v>
      </c>
      <c r="AQ207">
        <v>4.7E-2</v>
      </c>
      <c r="AR207">
        <v>6.0999999999999999E-2</v>
      </c>
      <c r="AS207">
        <v>0.252</v>
      </c>
      <c r="AT207">
        <v>0.39700000000000002</v>
      </c>
      <c r="AU207">
        <v>0.443</v>
      </c>
      <c r="AV207">
        <v>0.432</v>
      </c>
      <c r="AW207">
        <v>0.57899999999999996</v>
      </c>
      <c r="AX207">
        <v>0.55900000000000005</v>
      </c>
      <c r="AY207">
        <v>0.54500000000000004</v>
      </c>
      <c r="BD2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128.57809375717994</v>
      </c>
      <c r="BE2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221.71237281296717</v>
      </c>
      <c r="BF2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374.04536365725073</v>
      </c>
      <c r="BG2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531.65722052089063</v>
      </c>
      <c r="BH2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654.57938640018881</v>
      </c>
      <c r="BI2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678.7113453458179</v>
      </c>
      <c r="BJ2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689.64613924305604</v>
      </c>
      <c r="BK2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596.13479832874339</v>
      </c>
      <c r="BL2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418.53866296325441</v>
      </c>
      <c r="BM2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268.84510512864892</v>
      </c>
      <c r="BN2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124.43041331339995</v>
      </c>
      <c r="BO2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105.20025852860178</v>
      </c>
      <c r="BP207">
        <f>SUM(Таб[[#This Row],[1]:[12]])</f>
        <v>4792.0791600000002</v>
      </c>
    </row>
    <row r="208" spans="2:68" ht="25.5">
      <c r="B208" t="s">
        <v>384</v>
      </c>
      <c r="C208" t="str">
        <f>IFERROR(VLOOKUP(Таб[[#This Row],[Зелений Тариф ЕЦ]],Sheet6!$H$9:$I$29,2,FALSE),"")</f>
        <v>Земля</v>
      </c>
      <c r="G208" s="1" t="s">
        <v>564</v>
      </c>
      <c r="H208" t="s">
        <v>65</v>
      </c>
      <c r="I208" t="s">
        <v>247</v>
      </c>
      <c r="J208" s="7">
        <v>4.4379999999999997</v>
      </c>
      <c r="K208" s="8"/>
      <c r="L208" s="8">
        <v>42905</v>
      </c>
      <c r="M208">
        <v>6</v>
      </c>
      <c r="N208" s="49" t="s">
        <v>57</v>
      </c>
      <c r="O208">
        <v>2017</v>
      </c>
      <c r="P208">
        <v>0.15989999999999999</v>
      </c>
      <c r="Q208" s="10"/>
      <c r="R208" s="11">
        <f>ROUND(Таб[[#This Row],[Зелений Тариф ЕЦ]]+Таб[[#This Row],[Зелений Тариф ЕЦ]]*Таб[[#This Row],[% надбавки]],4)</f>
        <v>0.15989999999999999</v>
      </c>
      <c r="S208" s="12"/>
      <c r="T208">
        <v>0</v>
      </c>
      <c r="U208">
        <v>0</v>
      </c>
      <c r="V208">
        <v>0</v>
      </c>
      <c r="W208">
        <v>0</v>
      </c>
      <c r="X208">
        <v>0</v>
      </c>
      <c r="Y208">
        <v>0.83399999999999996</v>
      </c>
      <c r="Z208">
        <v>0.68800000000000006</v>
      </c>
      <c r="AA208">
        <v>0.66700000000000004</v>
      </c>
      <c r="AB208">
        <v>0.44799999999999995</v>
      </c>
      <c r="AC208">
        <v>0.37800000000000011</v>
      </c>
      <c r="AD208">
        <v>0.11999999999999966</v>
      </c>
      <c r="AE208">
        <v>0.10200000000000031</v>
      </c>
      <c r="AF208">
        <v>0.17499999999999999</v>
      </c>
      <c r="AG208">
        <v>0.14199999999999999</v>
      </c>
      <c r="AH208">
        <v>0.317</v>
      </c>
      <c r="AI208">
        <v>0.65900000000000003</v>
      </c>
      <c r="AJ208">
        <v>0.67700000000000005</v>
      </c>
      <c r="AK208">
        <v>0.54500000000000004</v>
      </c>
      <c r="AL208">
        <v>0.58299999999999996</v>
      </c>
      <c r="AM208">
        <v>0.66200000000000003</v>
      </c>
      <c r="AN208">
        <v>0.54600000000000004</v>
      </c>
      <c r="AO208">
        <v>0.441</v>
      </c>
      <c r="AP208">
        <v>0.109</v>
      </c>
      <c r="AQ208">
        <v>6.3E-2</v>
      </c>
      <c r="AR208">
        <v>7.1999999999999995E-2</v>
      </c>
      <c r="AS208">
        <v>0.29899999999999999</v>
      </c>
      <c r="AT208">
        <v>0.46600000000000003</v>
      </c>
      <c r="AU208">
        <v>0.52300000000000002</v>
      </c>
      <c r="AV208">
        <v>0.50700000000000001</v>
      </c>
      <c r="AW208">
        <v>0.66700000000000004</v>
      </c>
      <c r="AX208">
        <v>0.69199999999999995</v>
      </c>
      <c r="AY208">
        <v>0.65</v>
      </c>
      <c r="BD2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142.90748311904949</v>
      </c>
      <c r="BE2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246.42111458651351</v>
      </c>
      <c r="BF2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415.73085998268937</v>
      </c>
      <c r="BG2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590.90777477378231</v>
      </c>
      <c r="BH2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727.52900496970642</v>
      </c>
      <c r="BI2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754.35035077504131</v>
      </c>
      <c r="BJ2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766.50377309308362</v>
      </c>
      <c r="BK2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662.5710580974112</v>
      </c>
      <c r="BL2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465.1827163112755</v>
      </c>
      <c r="BM2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298.80655561255799</v>
      </c>
      <c r="BN2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138.29756430875759</v>
      </c>
      <c r="BO2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116.9243043701314</v>
      </c>
      <c r="BP208">
        <f>SUM(Таб[[#This Row],[1]:[12]])</f>
        <v>5326.13256</v>
      </c>
    </row>
    <row r="209" spans="2:68" ht="51">
      <c r="B209" t="s">
        <v>384</v>
      </c>
      <c r="C209" t="str">
        <f>IFERROR(VLOOKUP(Таб[[#This Row],[Зелений Тариф ЕЦ]],Sheet6!$H$9:$I$29,2,FALSE),"")</f>
        <v>Земля</v>
      </c>
      <c r="G209" s="1" t="s">
        <v>566</v>
      </c>
      <c r="H209" t="s">
        <v>65</v>
      </c>
      <c r="I209" t="s">
        <v>247</v>
      </c>
      <c r="J209" s="7">
        <v>4.016</v>
      </c>
      <c r="K209" s="8"/>
      <c r="L209" s="8">
        <v>43522</v>
      </c>
      <c r="M209">
        <v>2</v>
      </c>
      <c r="N209" s="49" t="s">
        <v>67</v>
      </c>
      <c r="O209">
        <v>2019</v>
      </c>
      <c r="P209">
        <v>0.15029999999999999</v>
      </c>
      <c r="Q209" s="10"/>
      <c r="R209" s="11">
        <f>ROUND(Таб[[#This Row],[Зелений Тариф ЕЦ]]+Таб[[#This Row],[Зелений Тариф ЕЦ]]*Таб[[#This Row],[% надбавки]],4)</f>
        <v>0.15029999999999999</v>
      </c>
      <c r="S209" s="12"/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0.44600000000000001</v>
      </c>
      <c r="AV209">
        <v>0.42799999999999999</v>
      </c>
      <c r="AW209">
        <v>0.55800000000000005</v>
      </c>
      <c r="AX209">
        <v>0.56499999999999995</v>
      </c>
      <c r="AY209">
        <v>0.56399999999999995</v>
      </c>
      <c r="BD2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129.31871388150134</v>
      </c>
      <c r="BE2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222.98945384845388</v>
      </c>
      <c r="BF2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376.19989492800374</v>
      </c>
      <c r="BG2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534.71960871823126</v>
      </c>
      <c r="BH2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658.34981612400657</v>
      </c>
      <c r="BI2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682.62077708710365</v>
      </c>
      <c r="BJ2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693.6185562735069</v>
      </c>
      <c r="BK2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599.56858254150598</v>
      </c>
      <c r="BL2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420.94947920371396</v>
      </c>
      <c r="BM2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270.39367447950269</v>
      </c>
      <c r="BN2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125.14714246596901</v>
      </c>
      <c r="BO2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105.80622044850108</v>
      </c>
      <c r="BP209">
        <f>SUM(Таб[[#This Row],[1]:[12]])</f>
        <v>4819.6819200000009</v>
      </c>
    </row>
    <row r="210" spans="2:68" ht="51">
      <c r="B210" t="s">
        <v>384</v>
      </c>
      <c r="C210" t="str">
        <f>IFERROR(VLOOKUP(Таб[[#This Row],[Зелений Тариф ЕЦ]],Sheet6!$H$9:$I$29,2,FALSE),"")</f>
        <v>Земля</v>
      </c>
      <c r="G210" s="1" t="s">
        <v>568</v>
      </c>
      <c r="H210" t="s">
        <v>65</v>
      </c>
      <c r="I210" t="s">
        <v>247</v>
      </c>
      <c r="J210" s="7">
        <v>4.0389999999999997</v>
      </c>
      <c r="K210" s="8"/>
      <c r="L210" s="8">
        <v>43613</v>
      </c>
      <c r="M210">
        <v>5</v>
      </c>
      <c r="N210" s="49" t="s">
        <v>57</v>
      </c>
      <c r="O210">
        <v>2019</v>
      </c>
      <c r="P210">
        <v>0.15029999999999999</v>
      </c>
      <c r="Q210" s="10"/>
      <c r="R210" s="11">
        <f>ROUND(Таб[[#This Row],[Зелений Тариф ЕЦ]]+Таб[[#This Row],[Зелений Тариф ЕЦ]]*Таб[[#This Row],[% надбавки]],4)</f>
        <v>0.15029999999999999</v>
      </c>
      <c r="S210" s="12"/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0.26500000000000001</v>
      </c>
      <c r="AW210">
        <v>0.57199999999999995</v>
      </c>
      <c r="AX210">
        <v>0.61099999999999999</v>
      </c>
      <c r="AY210">
        <v>0.58599999999999997</v>
      </c>
      <c r="BD2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130.05933400582268</v>
      </c>
      <c r="BE2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224.26653488394049</v>
      </c>
      <c r="BF2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378.35442619875676</v>
      </c>
      <c r="BG2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537.78199691557165</v>
      </c>
      <c r="BH2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662.12024584782421</v>
      </c>
      <c r="BI2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686.53020882838928</v>
      </c>
      <c r="BJ2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697.59097330395775</v>
      </c>
      <c r="BK2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603.00236675426868</v>
      </c>
      <c r="BL2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423.36029544417346</v>
      </c>
      <c r="BM2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271.9422438303564</v>
      </c>
      <c r="BN2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125.86387161853807</v>
      </c>
      <c r="BO2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106.41218236840034</v>
      </c>
      <c r="BP210">
        <f>SUM(Таб[[#This Row],[1]:[12]])</f>
        <v>4847.2846799999988</v>
      </c>
    </row>
    <row r="211" spans="2:68" ht="38.25">
      <c r="B211" t="s">
        <v>384</v>
      </c>
      <c r="C211" t="str">
        <f>IFERROR(VLOOKUP(Таб[[#This Row],[Зелений Тариф ЕЦ]],Sheet6!$H$9:$I$29,2,FALSE),"")</f>
        <v>Земля</v>
      </c>
      <c r="G211" s="1" t="s">
        <v>570</v>
      </c>
      <c r="H211" t="s">
        <v>198</v>
      </c>
      <c r="I211" t="s">
        <v>571</v>
      </c>
      <c r="J211" s="7">
        <v>2.5870000000000002</v>
      </c>
      <c r="K211" s="8"/>
      <c r="L211" s="8">
        <v>43596</v>
      </c>
      <c r="M211">
        <v>5</v>
      </c>
      <c r="N211" s="49" t="s">
        <v>57</v>
      </c>
      <c r="O211">
        <v>2019</v>
      </c>
      <c r="P211">
        <v>0.15029999999999999</v>
      </c>
      <c r="Q211" s="10"/>
      <c r="R211" s="11">
        <f>ROUND(Таб[[#This Row],[Зелений Тариф ЕЦ]]+Таб[[#This Row],[Зелений Тариф ЕЦ]]*Таб[[#This Row],[% надбавки]],4)</f>
        <v>0.15029999999999999</v>
      </c>
      <c r="S211" s="12"/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0.376</v>
      </c>
      <c r="AX211">
        <v>0</v>
      </c>
      <c r="AY211">
        <v>0.41799999999999998</v>
      </c>
      <c r="BD2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83.303663548666322</v>
      </c>
      <c r="BE2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143.64385386104337</v>
      </c>
      <c r="BF2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242.33793032339287</v>
      </c>
      <c r="BG2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344.45209854433864</v>
      </c>
      <c r="BH2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424.09137806593765</v>
      </c>
      <c r="BI2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439.72608324809198</v>
      </c>
      <c r="BJ2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446.81055903375557</v>
      </c>
      <c r="BK2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386.22607645290742</v>
      </c>
      <c r="BL2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271.16441800299003</v>
      </c>
      <c r="BM2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174.18038741993863</v>
      </c>
      <c r="BN2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80.616448595483533</v>
      </c>
      <c r="BO2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68.157542903454242</v>
      </c>
      <c r="BP211">
        <f>SUM(Таб[[#This Row],[1]:[12]])</f>
        <v>3104.7104399999998</v>
      </c>
    </row>
    <row r="212" spans="2:68" ht="51">
      <c r="B212" t="s">
        <v>384</v>
      </c>
      <c r="C212" t="str">
        <f>IFERROR(VLOOKUP(Таб[[#This Row],[Зелений Тариф ЕЦ]],Sheet6!$H$9:$I$29,2,FALSE),"")</f>
        <v>Земля</v>
      </c>
      <c r="D212" t="s">
        <v>3372</v>
      </c>
      <c r="F212" t="s">
        <v>3287</v>
      </c>
      <c r="G212" s="1" t="s">
        <v>574</v>
      </c>
      <c r="H212" t="s">
        <v>136</v>
      </c>
      <c r="I212" t="s">
        <v>575</v>
      </c>
      <c r="J212" s="7">
        <v>3.5569999999999999</v>
      </c>
      <c r="K212" s="8"/>
      <c r="L212" s="8">
        <v>43441</v>
      </c>
      <c r="M212">
        <v>12</v>
      </c>
      <c r="N212" s="49" t="s">
        <v>71</v>
      </c>
      <c r="O212">
        <v>2018</v>
      </c>
      <c r="P212">
        <v>0.15029999999999999</v>
      </c>
      <c r="Q212" s="10"/>
      <c r="R212" s="11">
        <f>ROUND(Таб[[#This Row],[Зелений Тариф ЕЦ]]+Таб[[#This Row],[Зелений Тариф ЕЦ]]*Таб[[#This Row],[% надбавки]],4)</f>
        <v>0.15029999999999999</v>
      </c>
      <c r="S212" s="12"/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0.35</v>
      </c>
      <c r="AQ212">
        <v>0.111</v>
      </c>
      <c r="AR212">
        <v>0.10300000000000001</v>
      </c>
      <c r="AS212">
        <v>0.53200000000000003</v>
      </c>
      <c r="AT212">
        <v>0.97699999999999998</v>
      </c>
      <c r="AU212">
        <v>1.2509999999999999</v>
      </c>
      <c r="AV212">
        <v>1.1140000000000001</v>
      </c>
      <c r="AW212">
        <v>1.492</v>
      </c>
      <c r="AX212">
        <v>1.393</v>
      </c>
      <c r="AY212">
        <v>1.365</v>
      </c>
      <c r="BD2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114.53851227004486</v>
      </c>
      <c r="BE2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197.50335840113303</v>
      </c>
      <c r="BF2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333.20294478558498</v>
      </c>
      <c r="BG2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473.60499208434965</v>
      </c>
      <c r="BH2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583.10515337477386</v>
      </c>
      <c r="BI2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604.60211755448893</v>
      </c>
      <c r="BJ2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614.34292944842241</v>
      </c>
      <c r="BK2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531.0421932520261</v>
      </c>
      <c r="BL2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372.83797249193492</v>
      </c>
      <c r="BM2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239.48961656463922</v>
      </c>
      <c r="BN2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110.84372155165633</v>
      </c>
      <c r="BO2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93.713328220945783</v>
      </c>
      <c r="BP212">
        <f>SUM(Таб[[#This Row],[1]:[12]])</f>
        <v>4268.8268400000006</v>
      </c>
    </row>
    <row r="213" spans="2:68" ht="51">
      <c r="B213" t="s">
        <v>384</v>
      </c>
      <c r="C213" t="str">
        <f>IFERROR(VLOOKUP(Таб[[#This Row],[Зелений Тариф ЕЦ]],Sheet6!$H$9:$I$29,2,FALSE),"")</f>
        <v>Земля</v>
      </c>
      <c r="D213" t="s">
        <v>3372</v>
      </c>
      <c r="F213" t="s">
        <v>3287</v>
      </c>
      <c r="G213" s="1" t="s">
        <v>574</v>
      </c>
      <c r="H213" t="s">
        <v>233</v>
      </c>
      <c r="I213" t="s">
        <v>289</v>
      </c>
      <c r="J213" s="7">
        <v>5.4980000000000002</v>
      </c>
      <c r="K213" s="8"/>
      <c r="L213" s="8">
        <v>43490</v>
      </c>
      <c r="M213">
        <v>1</v>
      </c>
      <c r="N213" s="49" t="s">
        <v>67</v>
      </c>
      <c r="O213">
        <v>2019</v>
      </c>
      <c r="P213">
        <v>0.15029999999999999</v>
      </c>
      <c r="Q213" s="10"/>
      <c r="R213" s="11">
        <f>ROUND(Таб[[#This Row],[Зелений Тариф ЕЦ]]+Таб[[#This Row],[Зелений Тариф ЕЦ]]*Таб[[#This Row],[% надбавки]],4)</f>
        <v>0.15029999999999999</v>
      </c>
      <c r="S213" s="12"/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BD2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177.0404105877725</v>
      </c>
      <c r="BE2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305.27789274372498</v>
      </c>
      <c r="BF2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515.02664898261082</v>
      </c>
      <c r="BG2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732.04392647729958</v>
      </c>
      <c r="BH2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901.29663571956871</v>
      </c>
      <c r="BI2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934.5241614603824</v>
      </c>
      <c r="BJ2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949.58038406168862</v>
      </c>
      <c r="BK2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820.82372181603614</v>
      </c>
      <c r="BL2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576.28989956723592</v>
      </c>
      <c r="BM2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370.1754039562515</v>
      </c>
      <c r="BN2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171.32942960107013</v>
      </c>
      <c r="BO2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144.85124502635929</v>
      </c>
      <c r="BP213">
        <f>SUM(Таб[[#This Row],[1]:[12]])</f>
        <v>6598.2597600000008</v>
      </c>
    </row>
    <row r="214" spans="2:68" ht="38.25">
      <c r="B214" t="s">
        <v>384</v>
      </c>
      <c r="C214" t="str">
        <f>IFERROR(VLOOKUP(Таб[[#This Row],[Зелений Тариф ЕЦ]],Sheet6!$H$9:$I$29,2,FALSE),"")</f>
        <v>Земля</v>
      </c>
      <c r="G214" s="1" t="s">
        <v>582</v>
      </c>
      <c r="H214" t="s">
        <v>198</v>
      </c>
      <c r="I214" t="s">
        <v>520</v>
      </c>
      <c r="J214" s="7">
        <v>0.628</v>
      </c>
      <c r="K214" s="8"/>
      <c r="L214" s="8">
        <v>41809</v>
      </c>
      <c r="M214">
        <v>6</v>
      </c>
      <c r="N214" s="49" t="s">
        <v>57</v>
      </c>
      <c r="O214">
        <v>2014</v>
      </c>
      <c r="P214">
        <v>0.33929999999999999</v>
      </c>
      <c r="Q214" s="10"/>
      <c r="R214" s="11">
        <f>ROUND(Таб[[#This Row],[Зелений Тариф ЕЦ]]+Таб[[#This Row],[Зелений Тариф ЕЦ]]*Таб[[#This Row],[% надбавки]],4)</f>
        <v>0.33929999999999999</v>
      </c>
      <c r="S214" s="12"/>
      <c r="T214">
        <v>2.7E-2</v>
      </c>
      <c r="U214">
        <v>3.8000000000000006E-2</v>
      </c>
      <c r="V214">
        <v>6.7000000000000004E-2</v>
      </c>
      <c r="W214">
        <v>8.7999999999999995E-2</v>
      </c>
      <c r="X214">
        <v>9.8000000000000004E-2</v>
      </c>
      <c r="Y214">
        <v>0.10499999999999998</v>
      </c>
      <c r="Z214">
        <v>0.10000000000000003</v>
      </c>
      <c r="AA214">
        <v>9.4999999999999973E-2</v>
      </c>
      <c r="AB214">
        <v>7.5999999999999956E-2</v>
      </c>
      <c r="AC214">
        <v>3.5000000000000031E-2</v>
      </c>
      <c r="AD214">
        <v>1.9000000000000017E-2</v>
      </c>
      <c r="AE214">
        <v>1.2000000000000011E-2</v>
      </c>
      <c r="AF214">
        <v>2.5999999999999999E-2</v>
      </c>
      <c r="AG214">
        <v>2.9000000000000001E-2</v>
      </c>
      <c r="AH214">
        <v>5.1999999999999998E-2</v>
      </c>
      <c r="AI214">
        <v>9.9000000000000005E-2</v>
      </c>
      <c r="AJ214">
        <v>0.108</v>
      </c>
      <c r="AK214">
        <v>0.09</v>
      </c>
      <c r="AL214">
        <v>8.7999999999999995E-2</v>
      </c>
      <c r="AM214">
        <v>0.104</v>
      </c>
      <c r="AN214">
        <v>6.7000000000000004E-2</v>
      </c>
      <c r="AO214">
        <v>6.3E-2</v>
      </c>
      <c r="AP214">
        <v>1.7999999999999999E-2</v>
      </c>
      <c r="AQ214">
        <v>1.0999999999999999E-2</v>
      </c>
      <c r="AR214">
        <v>1.2E-2</v>
      </c>
      <c r="AS214">
        <v>2.8000000000000001E-2</v>
      </c>
      <c r="AT214">
        <v>0.05</v>
      </c>
      <c r="AU214">
        <v>8.4000000000000005E-2</v>
      </c>
      <c r="AV214">
        <v>7.2999999999999995E-2</v>
      </c>
      <c r="AW214">
        <v>0.106</v>
      </c>
      <c r="AX214">
        <v>9.7000000000000003E-2</v>
      </c>
      <c r="AY214">
        <v>9.9000000000000005E-2</v>
      </c>
      <c r="BD2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20.222149481469827</v>
      </c>
      <c r="BE2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34.869864795027141</v>
      </c>
      <c r="BF2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58.828071218821307</v>
      </c>
      <c r="BG2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83.616512518687543</v>
      </c>
      <c r="BH2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102.9491246329373</v>
      </c>
      <c r="BI2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106.74448406640963</v>
      </c>
      <c r="BJ2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108.4642563097018</v>
      </c>
      <c r="BK2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93.757238504996465</v>
      </c>
      <c r="BL2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65.825765174285948</v>
      </c>
      <c r="BM2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42.282676188527816</v>
      </c>
      <c r="BN2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19.569822078841767</v>
      </c>
      <c r="BO2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16.545395030293495</v>
      </c>
      <c r="BP214">
        <f>SUM(Таб[[#This Row],[1]:[12]])</f>
        <v>753.67536000000018</v>
      </c>
    </row>
    <row r="215" spans="2:68" ht="38.25">
      <c r="B215" t="s">
        <v>384</v>
      </c>
      <c r="C215" t="str">
        <f>IFERROR(VLOOKUP(Таб[[#This Row],[Зелений Тариф ЕЦ]],Sheet6!$H$9:$I$29,2,FALSE),"")</f>
        <v>Земля</v>
      </c>
      <c r="G215" s="1" t="s">
        <v>582</v>
      </c>
      <c r="H215" t="s">
        <v>198</v>
      </c>
      <c r="I215" t="s">
        <v>520</v>
      </c>
      <c r="J215" s="7">
        <v>0.624</v>
      </c>
      <c r="K215" s="8"/>
      <c r="L215" s="8">
        <v>42075</v>
      </c>
      <c r="M215">
        <v>3</v>
      </c>
      <c r="N215" s="49" t="s">
        <v>67</v>
      </c>
      <c r="O215">
        <v>2015</v>
      </c>
      <c r="P215">
        <v>0.30530000000000002</v>
      </c>
      <c r="Q215" s="10"/>
      <c r="R215" s="11">
        <f>ROUND(Таб[[#This Row],[Зелений Тариф ЕЦ]]+Таб[[#This Row],[Зелений Тариф ЕЦ]]*Таб[[#This Row],[% надбавки]],4)</f>
        <v>0.30530000000000002</v>
      </c>
      <c r="S215" s="12"/>
      <c r="T215">
        <v>2.9000000000000001E-2</v>
      </c>
      <c r="U215">
        <v>3.4000000000000002E-2</v>
      </c>
      <c r="V215">
        <v>6.6000000000000003E-2</v>
      </c>
      <c r="W215">
        <v>8.7999999999999995E-2</v>
      </c>
      <c r="X215">
        <v>0.09</v>
      </c>
      <c r="Y215">
        <v>0.10299999999999998</v>
      </c>
      <c r="Z215">
        <v>9.600000000000003E-2</v>
      </c>
      <c r="AA215">
        <v>9.2999999999999972E-2</v>
      </c>
      <c r="AB215">
        <v>7.4000000000000066E-2</v>
      </c>
      <c r="AC215">
        <v>3.2999999999999918E-2</v>
      </c>
      <c r="AD215">
        <v>1.8000000000000016E-2</v>
      </c>
      <c r="AE215">
        <v>1.3000000000000012E-2</v>
      </c>
      <c r="AF215">
        <v>2.4E-2</v>
      </c>
      <c r="AG215">
        <v>2.8000000000000001E-2</v>
      </c>
      <c r="AH215">
        <v>5.0999999999999997E-2</v>
      </c>
      <c r="AI215">
        <v>9.0999999999999998E-2</v>
      </c>
      <c r="AJ215">
        <v>0.10199999999999999</v>
      </c>
      <c r="AK215">
        <v>0.08</v>
      </c>
      <c r="AL215">
        <v>8.6999999999999994E-2</v>
      </c>
      <c r="AM215">
        <v>9.1999999999999998E-2</v>
      </c>
      <c r="AN215">
        <v>6.8000000000000005E-2</v>
      </c>
      <c r="AO215">
        <v>6.4000000000000001E-2</v>
      </c>
      <c r="AP215">
        <v>1.7999999999999999E-2</v>
      </c>
      <c r="AQ215">
        <v>1.0999999999999999E-2</v>
      </c>
      <c r="AR215">
        <v>1.2999999999999999E-2</v>
      </c>
      <c r="AS215">
        <v>2.8000000000000001E-2</v>
      </c>
      <c r="AT215">
        <v>5.2999999999999999E-2</v>
      </c>
      <c r="AU215">
        <v>8.4000000000000005E-2</v>
      </c>
      <c r="AV215">
        <v>7.2999999999999995E-2</v>
      </c>
      <c r="AW215">
        <v>0.106</v>
      </c>
      <c r="AX215">
        <v>9.6000000000000002E-2</v>
      </c>
      <c r="AY215">
        <v>9.0999999999999998E-2</v>
      </c>
      <c r="BD2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20.093345981587852</v>
      </c>
      <c r="BE2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34.64776374537729</v>
      </c>
      <c r="BF2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58.453370128255557</v>
      </c>
      <c r="BG2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83.083923266976157</v>
      </c>
      <c r="BH2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102.29339772444723</v>
      </c>
      <c r="BI2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106.06458289401212</v>
      </c>
      <c r="BJ2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107.77340117397119</v>
      </c>
      <c r="BK2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93.160058641907327</v>
      </c>
      <c r="BL2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65.406492784640818</v>
      </c>
      <c r="BM2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42.013359779683682</v>
      </c>
      <c r="BN2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19.445173530568894</v>
      </c>
      <c r="BO2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16.440010348571882</v>
      </c>
      <c r="BP215">
        <f>SUM(Таб[[#This Row],[1]:[12]])</f>
        <v>748.87487999999996</v>
      </c>
    </row>
    <row r="216" spans="2:68" ht="38.25">
      <c r="B216" t="s">
        <v>384</v>
      </c>
      <c r="C216" t="str">
        <f>IFERROR(VLOOKUP(Таб[[#This Row],[Зелений Тариф ЕЦ]],Sheet6!$H$9:$I$29,2,FALSE),"")</f>
        <v>Земля</v>
      </c>
      <c r="G216" s="1" t="s">
        <v>582</v>
      </c>
      <c r="H216" t="s">
        <v>198</v>
      </c>
      <c r="I216" t="s">
        <v>520</v>
      </c>
      <c r="J216" s="7">
        <v>1.2070000000000001</v>
      </c>
      <c r="K216" s="8"/>
      <c r="L216" s="8">
        <v>42362</v>
      </c>
      <c r="M216">
        <v>12</v>
      </c>
      <c r="N216" s="49" t="s">
        <v>71</v>
      </c>
      <c r="O216">
        <v>2015</v>
      </c>
      <c r="P216">
        <v>0.1696</v>
      </c>
      <c r="Q216" s="10"/>
      <c r="R216" s="11">
        <f>ROUND(Таб[[#This Row],[Зелений Тариф ЕЦ]]+Таб[[#This Row],[Зелений Тариф ЕЦ]]*Таб[[#This Row],[% надбавки]],4)</f>
        <v>0.1696</v>
      </c>
      <c r="S216" s="12"/>
      <c r="T216">
        <v>5.6000000000000001E-2</v>
      </c>
      <c r="U216">
        <v>6.6000000000000003E-2</v>
      </c>
      <c r="V216">
        <v>0.13100000000000001</v>
      </c>
      <c r="W216">
        <v>0.17099999999999999</v>
      </c>
      <c r="X216">
        <v>0.17599999999999999</v>
      </c>
      <c r="Y216">
        <v>0.20400000000000007</v>
      </c>
      <c r="Z216">
        <v>0.19499999999999995</v>
      </c>
      <c r="AA216">
        <v>0.18400000000000005</v>
      </c>
      <c r="AB216">
        <v>0.14900000000000002</v>
      </c>
      <c r="AC216">
        <v>6.7999999999999838E-2</v>
      </c>
      <c r="AD216">
        <v>3.5000000000000142E-2</v>
      </c>
      <c r="AE216">
        <v>2.4000000000000021E-2</v>
      </c>
      <c r="AF216">
        <v>0.05</v>
      </c>
      <c r="AG216">
        <v>5.8999999999999997E-2</v>
      </c>
      <c r="AH216">
        <v>0.106</v>
      </c>
      <c r="AI216">
        <v>0.193</v>
      </c>
      <c r="AJ216">
        <v>0.21</v>
      </c>
      <c r="AK216">
        <v>0.16700000000000001</v>
      </c>
      <c r="AL216">
        <v>0.17799999999999999</v>
      </c>
      <c r="AM216">
        <v>0.17599999999999999</v>
      </c>
      <c r="AN216">
        <v>0.13600000000000001</v>
      </c>
      <c r="AO216">
        <v>0.13</v>
      </c>
      <c r="AP216">
        <v>3.9E-2</v>
      </c>
      <c r="AQ216">
        <v>2.1999999999999999E-2</v>
      </c>
      <c r="AR216">
        <v>2.3E-2</v>
      </c>
      <c r="AS216">
        <v>5.8000000000000003E-2</v>
      </c>
      <c r="AT216">
        <v>0.11</v>
      </c>
      <c r="AU216">
        <v>0.16400000000000001</v>
      </c>
      <c r="AV216">
        <v>0.14199999999999999</v>
      </c>
      <c r="AW216">
        <v>0.20499999999999999</v>
      </c>
      <c r="AX216">
        <v>0.188</v>
      </c>
      <c r="AY216">
        <v>0.17100000000000001</v>
      </c>
      <c r="BD2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38.866456089385487</v>
      </c>
      <c r="BE2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67.018991731843585</v>
      </c>
      <c r="BF2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113.06605407821229</v>
      </c>
      <c r="BG2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160.70880670391062</v>
      </c>
      <c r="BH2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197.86559463687155</v>
      </c>
      <c r="BI2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205.1601787709497</v>
      </c>
      <c r="BJ2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208.46553720670394</v>
      </c>
      <c r="BK2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180.19902368715086</v>
      </c>
      <c r="BL2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126.51544357541903</v>
      </c>
      <c r="BM2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81.266226368715081</v>
      </c>
      <c r="BN2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37.612699441340794</v>
      </c>
      <c r="BO2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31.799827709497208</v>
      </c>
      <c r="BP216">
        <f>SUM(Таб[[#This Row],[1]:[12]])</f>
        <v>1448.54484</v>
      </c>
    </row>
    <row r="217" spans="2:68" ht="38.25">
      <c r="B217" t="s">
        <v>384</v>
      </c>
      <c r="C217" t="str">
        <f>IFERROR(VLOOKUP(Таб[[#This Row],[Зелений Тариф ЕЦ]],Sheet6!$H$9:$I$29,2,FALSE),"")</f>
        <v>Земля</v>
      </c>
      <c r="G217" s="1" t="s">
        <v>582</v>
      </c>
      <c r="H217" t="s">
        <v>198</v>
      </c>
      <c r="I217" t="s">
        <v>520</v>
      </c>
      <c r="J217" s="7">
        <v>1.496</v>
      </c>
      <c r="K217" s="8"/>
      <c r="L217" s="8">
        <v>42999</v>
      </c>
      <c r="M217">
        <v>9</v>
      </c>
      <c r="N217" s="49" t="s">
        <v>60</v>
      </c>
      <c r="O217">
        <v>2017</v>
      </c>
      <c r="P217">
        <v>0.15029999999999999</v>
      </c>
      <c r="Q217" s="10"/>
      <c r="R217" s="11">
        <f>ROUND(Таб[[#This Row],[Зелений Тариф ЕЦ]]+Таб[[#This Row],[Зелений Тариф ЕЦ]]*Таб[[#This Row],[% надбавки]],4)</f>
        <v>0.15029999999999999</v>
      </c>
      <c r="S217" s="12"/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0.10100000000000001</v>
      </c>
      <c r="AD217">
        <v>4.8999999999999988E-2</v>
      </c>
      <c r="AE217">
        <v>0.03</v>
      </c>
      <c r="AF217">
        <v>5.2999999999999999E-2</v>
      </c>
      <c r="AG217">
        <v>6.9000000000000006E-2</v>
      </c>
      <c r="AH217">
        <v>0.13300000000000001</v>
      </c>
      <c r="AI217">
        <v>0.245</v>
      </c>
      <c r="AJ217">
        <v>0.26900000000000002</v>
      </c>
      <c r="AK217">
        <v>0.222</v>
      </c>
      <c r="AL217">
        <v>0.22800000000000001</v>
      </c>
      <c r="AM217">
        <v>0.25700000000000001</v>
      </c>
      <c r="AN217">
        <v>0.17399999999999999</v>
      </c>
      <c r="AO217">
        <v>0.16600000000000001</v>
      </c>
      <c r="AP217">
        <v>4.7E-2</v>
      </c>
      <c r="AQ217">
        <v>2.5000000000000001E-2</v>
      </c>
      <c r="AR217">
        <v>4.1000000000000002E-2</v>
      </c>
      <c r="AS217">
        <v>7.2999999999999995E-2</v>
      </c>
      <c r="AT217">
        <v>0.156</v>
      </c>
      <c r="AU217">
        <v>0.20799999999999999</v>
      </c>
      <c r="AV217">
        <v>0.20200000000000001</v>
      </c>
      <c r="AW217">
        <v>0.26500000000000001</v>
      </c>
      <c r="AX217">
        <v>0.24</v>
      </c>
      <c r="AY217">
        <v>0.24299999999999999</v>
      </c>
      <c r="BD2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48.172508955858063</v>
      </c>
      <c r="BE2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83.065792569045556</v>
      </c>
      <c r="BF2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140.13820787158704</v>
      </c>
      <c r="BG2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199.18838014005823</v>
      </c>
      <c r="BH2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245.24186377527735</v>
      </c>
      <c r="BI2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254.28303847667007</v>
      </c>
      <c r="BJ2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258.37982076323868</v>
      </c>
      <c r="BK2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223.34526879534192</v>
      </c>
      <c r="BL2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156.80787372727991</v>
      </c>
      <c r="BM2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100.72433690770319</v>
      </c>
      <c r="BN2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46.61855705405619</v>
      </c>
      <c r="BO2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39.413870963883859</v>
      </c>
      <c r="BP217">
        <f>SUM(Таб[[#This Row],[1]:[12]])</f>
        <v>1795.3795200000004</v>
      </c>
    </row>
    <row r="218" spans="2:68" ht="38.25">
      <c r="B218" t="s">
        <v>384</v>
      </c>
      <c r="C218" t="str">
        <f>IFERROR(VLOOKUP(Таб[[#This Row],[Зелений Тариф ЕЦ]],Sheet6!$H$9:$I$29,2,FALSE),"")</f>
        <v>Земля</v>
      </c>
      <c r="G218" s="1" t="s">
        <v>594</v>
      </c>
      <c r="H218" t="s">
        <v>198</v>
      </c>
      <c r="I218" t="s">
        <v>571</v>
      </c>
      <c r="J218" s="7">
        <v>4.4950000000000001</v>
      </c>
      <c r="K218" s="8"/>
      <c r="L218" s="8">
        <v>41270</v>
      </c>
      <c r="M218">
        <v>12</v>
      </c>
      <c r="N218" s="49" t="s">
        <v>71</v>
      </c>
      <c r="O218">
        <v>2012</v>
      </c>
      <c r="P218">
        <v>0.46529999999999999</v>
      </c>
      <c r="Q218" s="10"/>
      <c r="R218" s="11">
        <f>ROUND(Таб[[#This Row],[Зелений Тариф ЕЦ]]+Таб[[#This Row],[Зелений Тариф ЕЦ]]*Таб[[#This Row],[% надбавки]],4)</f>
        <v>0.46529999999999999</v>
      </c>
      <c r="S218" s="12"/>
      <c r="T218">
        <v>0.182</v>
      </c>
      <c r="U218">
        <v>0.23899999999999999</v>
      </c>
      <c r="V218">
        <v>0.47700000000000004</v>
      </c>
      <c r="W218">
        <v>0.624</v>
      </c>
      <c r="X218">
        <v>0.72300000000000009</v>
      </c>
      <c r="Y218">
        <v>0.7410000000000001</v>
      </c>
      <c r="Z218">
        <v>0.73</v>
      </c>
      <c r="AA218">
        <v>0.70699999999999985</v>
      </c>
      <c r="AB218">
        <v>0.52700000000000014</v>
      </c>
      <c r="AC218">
        <v>0.29600000000000026</v>
      </c>
      <c r="AD218">
        <v>0.10699999999999932</v>
      </c>
      <c r="AE218">
        <v>9.7000000000000419E-2</v>
      </c>
      <c r="AF218">
        <v>0.17699999999999999</v>
      </c>
      <c r="AG218">
        <v>0.17899999999999999</v>
      </c>
      <c r="AH218">
        <v>0.36499999999999999</v>
      </c>
      <c r="AI218">
        <v>0.69699999999999995</v>
      </c>
      <c r="AJ218">
        <v>0.754</v>
      </c>
      <c r="AK218">
        <v>0.64100000000000001</v>
      </c>
      <c r="AL218">
        <v>0.64900000000000002</v>
      </c>
      <c r="AM218">
        <v>0.752</v>
      </c>
      <c r="AN218">
        <v>0.495</v>
      </c>
      <c r="AO218">
        <v>0.46200000000000002</v>
      </c>
      <c r="AP218">
        <v>0.123</v>
      </c>
      <c r="AQ218">
        <v>7.2999999999999995E-2</v>
      </c>
      <c r="AR218">
        <v>7.2999999999999995E-2</v>
      </c>
      <c r="AS218">
        <v>0.192</v>
      </c>
      <c r="AT218">
        <v>0.438</v>
      </c>
      <c r="AU218">
        <v>0.59699999999999998</v>
      </c>
      <c r="AV218">
        <v>0.55400000000000005</v>
      </c>
      <c r="AW218">
        <v>0.70099999999999996</v>
      </c>
      <c r="AX218">
        <v>0.66900000000000004</v>
      </c>
      <c r="AY218">
        <v>0.68799999999999994</v>
      </c>
      <c r="BD2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144.74293299236763</v>
      </c>
      <c r="BE2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249.58605454402391</v>
      </c>
      <c r="BF2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421.07035052325125</v>
      </c>
      <c r="BG2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598.49717161066962</v>
      </c>
      <c r="BH2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736.87311341568966</v>
      </c>
      <c r="BI2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764.03894248170593</v>
      </c>
      <c r="BJ2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776.34845877724456</v>
      </c>
      <c r="BK2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671.08087114643172</v>
      </c>
      <c r="BL2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471.15734786371866</v>
      </c>
      <c r="BM2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302.64431443858683</v>
      </c>
      <c r="BN2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140.0738061216461</v>
      </c>
      <c r="BO2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118.42603608466442</v>
      </c>
      <c r="BP218">
        <f>SUM(Таб[[#This Row],[1]:[12]])</f>
        <v>5394.5393999999997</v>
      </c>
    </row>
    <row r="219" spans="2:68" ht="38.25">
      <c r="B219" t="s">
        <v>384</v>
      </c>
      <c r="C219" t="str">
        <f>IFERROR(VLOOKUP(Таб[[#This Row],[Зелений Тариф ЕЦ]],Sheet6!$H$9:$I$29,2,FALSE),"")</f>
        <v>Земля</v>
      </c>
      <c r="D219" t="s">
        <v>3405</v>
      </c>
      <c r="F219" t="s">
        <v>3287</v>
      </c>
      <c r="G219" s="1" t="s">
        <v>596</v>
      </c>
      <c r="H219" t="s">
        <v>172</v>
      </c>
      <c r="I219" t="s">
        <v>429</v>
      </c>
      <c r="J219" s="7">
        <v>11.374000000000001</v>
      </c>
      <c r="K219" s="8"/>
      <c r="L219" s="8">
        <v>43448</v>
      </c>
      <c r="M219">
        <v>12</v>
      </c>
      <c r="N219" s="49" t="s">
        <v>71</v>
      </c>
      <c r="O219">
        <v>2018</v>
      </c>
      <c r="P219">
        <v>0.15029999999999999</v>
      </c>
      <c r="Q219" s="10">
        <v>0.05</v>
      </c>
      <c r="R219" s="11">
        <f>ROUND(Таб[[#This Row],[Зелений Тариф ЕЦ]]+Таб[[#This Row],[Зелений Тариф ЕЦ]]*Таб[[#This Row],[% надбавки]],4)</f>
        <v>0.1578</v>
      </c>
      <c r="S219" s="12">
        <v>43455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0.112</v>
      </c>
      <c r="AS219">
        <v>0.46700000000000003</v>
      </c>
      <c r="AT219">
        <v>1.038</v>
      </c>
      <c r="AU219">
        <v>1.478</v>
      </c>
      <c r="AV219">
        <v>1.361</v>
      </c>
      <c r="AW219">
        <v>1.9350000000000001</v>
      </c>
      <c r="AX219">
        <v>1.746</v>
      </c>
      <c r="AY219">
        <v>1.792</v>
      </c>
      <c r="BD2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366.25275191439147</v>
      </c>
      <c r="BE2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631.5443346793611</v>
      </c>
      <c r="BF2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1065.462551023684</v>
      </c>
      <c r="BG2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1514.4175372413251</v>
      </c>
      <c r="BH2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1864.5594642914471</v>
      </c>
      <c r="BI2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1933.29898371233</v>
      </c>
      <c r="BJ2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1964.4465784499178</v>
      </c>
      <c r="BK2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1698.0809406939966</v>
      </c>
      <c r="BL2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1192.2010399559369</v>
      </c>
      <c r="BM2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765.80120854827283</v>
      </c>
      <c r="BN2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354.43814701392722</v>
      </c>
      <c r="BO2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299.66134247541117</v>
      </c>
      <c r="BP219">
        <f>SUM(Таб[[#This Row],[1]:[12]])</f>
        <v>13650.16488</v>
      </c>
    </row>
    <row r="220" spans="2:68" ht="38.25">
      <c r="B220" t="s">
        <v>384</v>
      </c>
      <c r="C220" t="str">
        <f>IFERROR(VLOOKUP(Таб[[#This Row],[Зелений Тариф ЕЦ]],Sheet6!$H$9:$I$29,2,FALSE),"")</f>
        <v>Земля</v>
      </c>
      <c r="G220" s="1" t="s">
        <v>598</v>
      </c>
      <c r="H220" t="s">
        <v>73</v>
      </c>
      <c r="I220" t="s">
        <v>599</v>
      </c>
      <c r="J220" s="7">
        <v>2.508</v>
      </c>
      <c r="K220" s="8"/>
      <c r="L220" s="8">
        <v>43417</v>
      </c>
      <c r="M220">
        <v>11</v>
      </c>
      <c r="N220" s="49" t="s">
        <v>71</v>
      </c>
      <c r="O220">
        <v>2018</v>
      </c>
      <c r="P220">
        <v>0.15029999999999999</v>
      </c>
      <c r="Q220" s="10"/>
      <c r="R220" s="11">
        <f>ROUND(Таб[[#This Row],[Зелений Тариф ЕЦ]]+Таб[[#This Row],[Зелений Тариф ЕЦ]]*Таб[[#This Row],[% надбавки]],4)</f>
        <v>0.15029999999999999</v>
      </c>
      <c r="S220" s="12"/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0.35099999999999998</v>
      </c>
      <c r="AX220">
        <v>0.40200000000000002</v>
      </c>
      <c r="AY220">
        <v>0.40300000000000002</v>
      </c>
      <c r="BD2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80.759794425997327</v>
      </c>
      <c r="BE2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139.25735813045873</v>
      </c>
      <c r="BF2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234.93758378471944</v>
      </c>
      <c r="BG2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333.93346082303879</v>
      </c>
      <c r="BH2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411.14077162325918</v>
      </c>
      <c r="BI2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426.29803509324097</v>
      </c>
      <c r="BJ2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433.16617010307658</v>
      </c>
      <c r="BK2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374.43177415689667</v>
      </c>
      <c r="BL2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262.88378830749866</v>
      </c>
      <c r="BM2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168.86138834526713</v>
      </c>
      <c r="BN2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78.154639767094181</v>
      </c>
      <c r="BO2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66.076195439452363</v>
      </c>
      <c r="BP220">
        <f>SUM(Таб[[#This Row],[1]:[12]])</f>
        <v>3009.9009599999999</v>
      </c>
    </row>
    <row r="221" spans="2:68" ht="25.5">
      <c r="B221" t="s">
        <v>384</v>
      </c>
      <c r="C221" t="str">
        <f>IFERROR(VLOOKUP(Таб[[#This Row],[Зелений Тариф ЕЦ]],Sheet6!$H$9:$I$29,2,FALSE),"")</f>
        <v>Земля</v>
      </c>
      <c r="G221" s="1" t="s">
        <v>601</v>
      </c>
      <c r="H221" t="s">
        <v>198</v>
      </c>
      <c r="I221" t="s">
        <v>516</v>
      </c>
      <c r="J221" s="7">
        <v>6.2249999999999996</v>
      </c>
      <c r="K221" s="8"/>
      <c r="L221" s="8">
        <v>43522</v>
      </c>
      <c r="M221">
        <v>2</v>
      </c>
      <c r="N221" s="49" t="s">
        <v>67</v>
      </c>
      <c r="O221">
        <v>2019</v>
      </c>
      <c r="P221">
        <v>0.15029999999999999</v>
      </c>
      <c r="Q221" s="10">
        <v>0.05</v>
      </c>
      <c r="R221" s="11">
        <f>ROUND(Таб[[#This Row],[Зелений Тариф ЕЦ]]+Таб[[#This Row],[Зелений Тариф ЕЦ]]*Таб[[#This Row],[% надбавки]],4)</f>
        <v>0.1578</v>
      </c>
      <c r="S221" s="12">
        <v>43637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0.625</v>
      </c>
      <c r="AU221">
        <v>0.86099999999999999</v>
      </c>
      <c r="AV221">
        <v>0.85699999999999998</v>
      </c>
      <c r="AW221">
        <v>0.97399999999999998</v>
      </c>
      <c r="AX221">
        <v>0.98</v>
      </c>
      <c r="AY221">
        <v>1.034</v>
      </c>
      <c r="BD2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200.45044669132113</v>
      </c>
      <c r="BE2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345.64475851758596</v>
      </c>
      <c r="BF2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583.12857219293414</v>
      </c>
      <c r="BG2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828.84202297584375</v>
      </c>
      <c r="BH2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1020.4750013376347</v>
      </c>
      <c r="BI2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1058.0961995436305</v>
      </c>
      <c r="BJ2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1075.1433049807224</v>
      </c>
      <c r="BK2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929.36116193248881</v>
      </c>
      <c r="BL2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652.49265638523877</v>
      </c>
      <c r="BM2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419.12366126367141</v>
      </c>
      <c r="BN2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193.98430324966563</v>
      </c>
      <c r="BO2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164.00491092926271</v>
      </c>
      <c r="BP221">
        <f>SUM(Таб[[#This Row],[1]:[12]])</f>
        <v>7470.7470000000003</v>
      </c>
    </row>
    <row r="222" spans="2:68" ht="25.5">
      <c r="B222" t="s">
        <v>384</v>
      </c>
      <c r="C222" t="str">
        <f>IFERROR(VLOOKUP(Таб[[#This Row],[Зелений Тариф ЕЦ]],Sheet6!$H$9:$I$29,2,FALSE),"")</f>
        <v>Земля</v>
      </c>
      <c r="D222" t="s">
        <v>3365</v>
      </c>
      <c r="E222" t="s">
        <v>3363</v>
      </c>
      <c r="F222" t="s">
        <v>3364</v>
      </c>
      <c r="G222" s="1" t="s">
        <v>604</v>
      </c>
      <c r="H222" t="s">
        <v>136</v>
      </c>
      <c r="I222" t="s">
        <v>606</v>
      </c>
      <c r="J222" s="7">
        <v>12.348000000000001</v>
      </c>
      <c r="K222" s="8"/>
      <c r="L222" s="8">
        <v>43613</v>
      </c>
      <c r="M222">
        <v>5</v>
      </c>
      <c r="N222" s="49" t="s">
        <v>57</v>
      </c>
      <c r="O222">
        <v>2019</v>
      </c>
      <c r="P222">
        <v>0.15029999999999999</v>
      </c>
      <c r="Q222" s="10">
        <v>0.05</v>
      </c>
      <c r="R222" s="11">
        <f>ROUND(Таб[[#This Row],[Зелений Тариф ЕЦ]]+Таб[[#This Row],[Зелений Тариф ЕЦ]]*Таб[[#This Row],[% надбавки]],4)</f>
        <v>0.1578</v>
      </c>
      <c r="S222" s="12" t="s">
        <v>608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1.798</v>
      </c>
      <c r="AX222">
        <v>2.036</v>
      </c>
      <c r="AY222">
        <v>2.0499999999999998</v>
      </c>
      <c r="BD2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397.61640413565198</v>
      </c>
      <c r="BE2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685.62594026910074</v>
      </c>
      <c r="BF2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1156.7022665764418</v>
      </c>
      <c r="BG2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1644.1030200330474</v>
      </c>
      <c r="BH2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2024.2289665087735</v>
      </c>
      <c r="BI2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2098.8549191911247</v>
      </c>
      <c r="BJ2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2132.6698040003148</v>
      </c>
      <c r="BK2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1843.4942373562042</v>
      </c>
      <c r="BL2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1294.2938668345269</v>
      </c>
      <c r="BM2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831.37975410181753</v>
      </c>
      <c r="BN2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384.79006851837289</v>
      </c>
      <c r="BO2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325.32251247462432</v>
      </c>
      <c r="BP222">
        <f>SUM(Таб[[#This Row],[1]:[12]])</f>
        <v>14819.081759999999</v>
      </c>
    </row>
    <row r="223" spans="2:68" ht="25.5">
      <c r="B223" t="s">
        <v>384</v>
      </c>
      <c r="C223" t="str">
        <f>IFERROR(VLOOKUP(Таб[[#This Row],[Зелений Тариф ЕЦ]],Sheet6!$H$9:$I$29,2,FALSE),"")</f>
        <v>Земля</v>
      </c>
      <c r="D223" t="s">
        <v>3365</v>
      </c>
      <c r="E223" t="s">
        <v>3363</v>
      </c>
      <c r="F223" t="s">
        <v>3364</v>
      </c>
      <c r="G223" s="1" t="s">
        <v>609</v>
      </c>
      <c r="H223" t="s">
        <v>82</v>
      </c>
      <c r="I223" t="s">
        <v>611</v>
      </c>
      <c r="J223" s="7">
        <v>14.571999999999999</v>
      </c>
      <c r="K223" s="8"/>
      <c r="L223" s="8">
        <v>43613</v>
      </c>
      <c r="M223">
        <v>5</v>
      </c>
      <c r="N223" s="49" t="s">
        <v>57</v>
      </c>
      <c r="O223">
        <v>2019</v>
      </c>
      <c r="P223">
        <v>0.15029999999999999</v>
      </c>
      <c r="Q223" s="10">
        <v>0.05</v>
      </c>
      <c r="R223" s="11">
        <f>ROUND(Таб[[#This Row],[Зелений Тариф ЕЦ]]+Таб[[#This Row],[Зелений Тариф ЕЦ]]*Таб[[#This Row],[% надбавки]],4)</f>
        <v>0.1578</v>
      </c>
      <c r="S223" s="12">
        <v>43664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2.363</v>
      </c>
      <c r="AX223">
        <v>2.609</v>
      </c>
      <c r="AY223">
        <v>2.2330000000000001</v>
      </c>
      <c r="BD2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469.23115007002917</v>
      </c>
      <c r="BE2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809.11412387441976</v>
      </c>
      <c r="BF2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1365.0360729309937</v>
      </c>
      <c r="BG2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1940.2226439845776</v>
      </c>
      <c r="BH2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2388.8131276292393</v>
      </c>
      <c r="BI2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2476.8799710441417</v>
      </c>
      <c r="BJ2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2516.7852594665196</v>
      </c>
      <c r="BK2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2175.5262412337711</v>
      </c>
      <c r="BL2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1527.4093154772208</v>
      </c>
      <c r="BM2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981.11967741915169</v>
      </c>
      <c r="BN2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454.09466135809276</v>
      </c>
      <c r="BO2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383.91639551184198</v>
      </c>
      <c r="BP223">
        <f>SUM(Таб[[#This Row],[1]:[12]])</f>
        <v>17488.148639999999</v>
      </c>
    </row>
    <row r="224" spans="2:68" ht="25.5">
      <c r="B224" t="s">
        <v>384</v>
      </c>
      <c r="C224" t="str">
        <f>IFERROR(VLOOKUP(Таб[[#This Row],[Зелений Тариф ЕЦ]],Sheet6!$H$9:$I$29,2,FALSE),"")</f>
        <v>Земля</v>
      </c>
      <c r="G224" s="1" t="s">
        <v>613</v>
      </c>
      <c r="H224" t="s">
        <v>122</v>
      </c>
      <c r="I224" t="s">
        <v>614</v>
      </c>
      <c r="J224" s="7">
        <v>1.087</v>
      </c>
      <c r="K224" s="8"/>
      <c r="L224" s="8">
        <v>43277</v>
      </c>
      <c r="M224">
        <v>6</v>
      </c>
      <c r="N224" s="49" t="s">
        <v>57</v>
      </c>
      <c r="O224">
        <v>2019</v>
      </c>
      <c r="P224">
        <v>0.15029999999999999</v>
      </c>
      <c r="Q224" s="10"/>
      <c r="R224" s="11">
        <f>ROUND(Таб[[#This Row],[Зелений Тариф ЕЦ]]+Таб[[#This Row],[Зелений Тариф ЕЦ]]*Таб[[#This Row],[% надбавки]],4)</f>
        <v>0.15029999999999999</v>
      </c>
      <c r="S224" s="12"/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0.16500000000000001</v>
      </c>
      <c r="AM224">
        <v>0.189</v>
      </c>
      <c r="AN224">
        <v>0.121</v>
      </c>
      <c r="AO224">
        <v>0.11799999999999999</v>
      </c>
      <c r="AP224">
        <v>5.5E-2</v>
      </c>
      <c r="AQ224">
        <v>8.9999999999999993E-3</v>
      </c>
      <c r="AR224">
        <v>2.7E-2</v>
      </c>
      <c r="AS224">
        <v>5.1999999999999998E-2</v>
      </c>
      <c r="AT224">
        <v>0.12</v>
      </c>
      <c r="AU224">
        <v>0.16200000000000001</v>
      </c>
      <c r="AV224">
        <v>0.17</v>
      </c>
      <c r="AW224">
        <v>0.35099999999999998</v>
      </c>
      <c r="AX224">
        <v>0.35799999999999998</v>
      </c>
      <c r="AY224">
        <v>0.33400000000000002</v>
      </c>
      <c r="BD2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35.002351092926276</v>
      </c>
      <c r="BE2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60.355960242347948</v>
      </c>
      <c r="BF2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101.82502136124006</v>
      </c>
      <c r="BG2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144.73112915256903</v>
      </c>
      <c r="BH2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178.19378738217011</v>
      </c>
      <c r="BI2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184.76314359902429</v>
      </c>
      <c r="BJ2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187.73988313478637</v>
      </c>
      <c r="BK2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162.28362779447636</v>
      </c>
      <c r="BL2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113.93727188606499</v>
      </c>
      <c r="BM2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73.186734103391288</v>
      </c>
      <c r="BN2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33.873242993154456</v>
      </c>
      <c r="BO2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28.63828725784877</v>
      </c>
      <c r="BP224">
        <f>SUM(Таб[[#This Row],[1]:[12]])</f>
        <v>1304.53044</v>
      </c>
    </row>
    <row r="225" spans="2:68" ht="25.5">
      <c r="B225" t="s">
        <v>384</v>
      </c>
      <c r="C225" t="str">
        <f>IFERROR(VLOOKUP(Таб[[#This Row],[Зелений Тариф ЕЦ]],Sheet6!$H$9:$I$29,2,FALSE),"")</f>
        <v>Земля</v>
      </c>
      <c r="G225" s="1" t="s">
        <v>613</v>
      </c>
      <c r="H225" t="s">
        <v>122</v>
      </c>
      <c r="I225" t="s">
        <v>614</v>
      </c>
      <c r="J225" s="7">
        <v>1.087</v>
      </c>
      <c r="K225" s="8"/>
      <c r="L225" s="8">
        <v>43596</v>
      </c>
      <c r="M225">
        <v>5</v>
      </c>
      <c r="N225" s="49" t="s">
        <v>57</v>
      </c>
      <c r="O225">
        <v>2019</v>
      </c>
      <c r="P225">
        <v>0.15029999999999999</v>
      </c>
      <c r="Q225" s="10"/>
      <c r="R225" s="11">
        <f>ROUND(Таб[[#This Row],[Зелений Тариф ЕЦ]]+Таб[[#This Row],[Зелений Тариф ЕЦ]]*Таб[[#This Row],[% надбавки]],4)</f>
        <v>0.15029999999999999</v>
      </c>
      <c r="S225" s="12"/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BD2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35.002351092926276</v>
      </c>
      <c r="BE2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60.355960242347948</v>
      </c>
      <c r="BF2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101.82502136124006</v>
      </c>
      <c r="BG2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144.73112915256903</v>
      </c>
      <c r="BH2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178.19378738217011</v>
      </c>
      <c r="BI2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184.76314359902429</v>
      </c>
      <c r="BJ2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187.73988313478637</v>
      </c>
      <c r="BK2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162.28362779447636</v>
      </c>
      <c r="BL2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113.93727188606499</v>
      </c>
      <c r="BM2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73.186734103391288</v>
      </c>
      <c r="BN2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33.873242993154456</v>
      </c>
      <c r="BO2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28.63828725784877</v>
      </c>
      <c r="BP225">
        <f>SUM(Таб[[#This Row],[1]:[12]])</f>
        <v>1304.53044</v>
      </c>
    </row>
    <row r="226" spans="2:68" ht="25.5">
      <c r="B226" t="s">
        <v>384</v>
      </c>
      <c r="C226" t="str">
        <f>IFERROR(VLOOKUP(Таб[[#This Row],[Зелений Тариф ЕЦ]],Sheet6!$H$9:$I$29,2,FALSE),"")</f>
        <v>Земля</v>
      </c>
      <c r="G226" s="1" t="s">
        <v>617</v>
      </c>
      <c r="H226" t="s">
        <v>107</v>
      </c>
      <c r="I226" t="s">
        <v>618</v>
      </c>
      <c r="J226" s="7">
        <v>2.97</v>
      </c>
      <c r="K226" s="8"/>
      <c r="L226" s="8">
        <v>42135</v>
      </c>
      <c r="M226">
        <v>5</v>
      </c>
      <c r="N226" s="49" t="s">
        <v>57</v>
      </c>
      <c r="O226">
        <v>2015</v>
      </c>
      <c r="P226">
        <v>0.15029999999999999</v>
      </c>
      <c r="Q226" s="10"/>
      <c r="R226" s="11">
        <f>ROUND(Таб[[#This Row],[Зелений Тариф ЕЦ]]+Таб[[#This Row],[Зелений Тариф ЕЦ]]*Таб[[#This Row],[% надбавки]],4)</f>
        <v>0.15029999999999999</v>
      </c>
      <c r="S226" s="12"/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0.50800000000000001</v>
      </c>
      <c r="AX226">
        <v>0.51100000000000001</v>
      </c>
      <c r="AY226">
        <v>0.46700000000000003</v>
      </c>
      <c r="BD2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95.636598662365273</v>
      </c>
      <c r="BE2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164.91002936501692</v>
      </c>
      <c r="BF2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278.21555974506254</v>
      </c>
      <c r="BG2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395.44751939570392</v>
      </c>
      <c r="BH2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486.87722955385948</v>
      </c>
      <c r="BI2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504.82662050515387</v>
      </c>
      <c r="BJ2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512.95993827995915</v>
      </c>
      <c r="BK2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443.40604834369356</v>
      </c>
      <c r="BL2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311.30974931151161</v>
      </c>
      <c r="BM2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199.9674335667637</v>
      </c>
      <c r="BN2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92.551547092611557</v>
      </c>
      <c r="BO2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78.248126178298847</v>
      </c>
      <c r="BP226">
        <f>SUM(Таб[[#This Row],[1]:[12]])</f>
        <v>3564.3564000000001</v>
      </c>
    </row>
    <row r="227" spans="2:68" ht="25.5">
      <c r="B227" t="s">
        <v>384</v>
      </c>
      <c r="C227" t="str">
        <f>IFERROR(VLOOKUP(Таб[[#This Row],[Зелений Тариф ЕЦ]],Sheet6!$H$9:$I$29,2,FALSE),"")</f>
        <v>Земля</v>
      </c>
      <c r="D227" s="138"/>
      <c r="E227" s="138"/>
      <c r="F227" s="138"/>
      <c r="G227" s="1" t="s">
        <v>620</v>
      </c>
      <c r="H227" t="s">
        <v>136</v>
      </c>
      <c r="I227" t="s">
        <v>621</v>
      </c>
      <c r="J227" s="7">
        <v>1.248</v>
      </c>
      <c r="K227" s="8"/>
      <c r="L227" s="8">
        <v>43158</v>
      </c>
      <c r="M227">
        <v>2</v>
      </c>
      <c r="N227" s="49" t="s">
        <v>67</v>
      </c>
      <c r="O227">
        <v>2018</v>
      </c>
      <c r="P227">
        <v>0.15029999999999999</v>
      </c>
      <c r="Q227" s="10"/>
      <c r="R227" s="11">
        <f>ROUND(Таб[[#This Row],[Зелений Тариф ЕЦ]]+Таб[[#This Row],[Зелений Тариф ЕЦ]]*Таб[[#This Row],[% надбавки]],4)</f>
        <v>0.15029999999999999</v>
      </c>
      <c r="S227" s="12"/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0.13700000000000001</v>
      </c>
      <c r="AI227">
        <v>0.191</v>
      </c>
      <c r="AJ227">
        <v>0.223</v>
      </c>
      <c r="AK227">
        <v>0.216</v>
      </c>
      <c r="AL227">
        <v>0.19500000000000001</v>
      </c>
      <c r="AM227">
        <v>0.215</v>
      </c>
      <c r="AN227">
        <v>0.13600000000000001</v>
      </c>
      <c r="AO227">
        <v>0.13100000000000001</v>
      </c>
      <c r="AP227">
        <v>4.9000000000000002E-2</v>
      </c>
      <c r="AQ227">
        <v>1.7999999999999999E-2</v>
      </c>
      <c r="AR227">
        <v>5.5999999999999994E-2</v>
      </c>
      <c r="AS227">
        <v>7.0000000000000007E-2</v>
      </c>
      <c r="AT227">
        <v>0.17200000000000001</v>
      </c>
      <c r="AU227">
        <v>0.24299999999999999</v>
      </c>
      <c r="AV227">
        <v>0.25900000000000001</v>
      </c>
      <c r="AW227">
        <v>0.32100000000000001</v>
      </c>
      <c r="AX227">
        <v>0.30599999999999999</v>
      </c>
      <c r="AY227">
        <v>0.29599999999999999</v>
      </c>
      <c r="BD2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40.186691963175704</v>
      </c>
      <c r="BE2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69.29552749075458</v>
      </c>
      <c r="BF2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116.90674025651111</v>
      </c>
      <c r="BG2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166.16784653395231</v>
      </c>
      <c r="BH2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204.58679544889446</v>
      </c>
      <c r="BI2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212.12916578802424</v>
      </c>
      <c r="BJ2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215.54680234794239</v>
      </c>
      <c r="BK2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186.32011728381465</v>
      </c>
      <c r="BL2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130.81298556928164</v>
      </c>
      <c r="BM2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84.026719559367365</v>
      </c>
      <c r="BN2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38.890347061137788</v>
      </c>
      <c r="BO2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32.880020697143763</v>
      </c>
      <c r="BP227">
        <f>SUM(Таб[[#This Row],[1]:[12]])</f>
        <v>1497.7497599999999</v>
      </c>
    </row>
    <row r="228" spans="2:68" ht="25.5">
      <c r="B228" t="s">
        <v>384</v>
      </c>
      <c r="C228" t="str">
        <f>IFERROR(VLOOKUP(Таб[[#This Row],[Зелений Тариф ЕЦ]],Sheet6!$H$9:$I$29,2,FALSE),"")</f>
        <v>Земля</v>
      </c>
      <c r="D228" s="138"/>
      <c r="E228" s="138"/>
      <c r="F228" s="138"/>
      <c r="G228" s="1" t="s">
        <v>620</v>
      </c>
      <c r="H228" t="s">
        <v>136</v>
      </c>
      <c r="I228" t="s">
        <v>621</v>
      </c>
      <c r="J228" s="7">
        <v>0.56999999999999995</v>
      </c>
      <c r="K228" s="8"/>
      <c r="L228" s="8">
        <v>43368</v>
      </c>
      <c r="M228">
        <v>9</v>
      </c>
      <c r="N228" s="49" t="s">
        <v>60</v>
      </c>
      <c r="O228">
        <v>2018</v>
      </c>
      <c r="P228">
        <v>0.15029999999999999</v>
      </c>
      <c r="Q228" s="10"/>
      <c r="R228" s="11">
        <f>ROUND(Таб[[#This Row],[Зелений Тариф ЕЦ]]+Таб[[#This Row],[Зелений Тариф ЕЦ]]*Таб[[#This Row],[% надбавки]],4)</f>
        <v>0.15029999999999999</v>
      </c>
      <c r="S228" s="12"/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5.3999999999999999E-2</v>
      </c>
      <c r="AP228">
        <v>2.5000000000000001E-2</v>
      </c>
      <c r="AQ228">
        <v>8.9999999999999993E-3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BD2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18.354498733181213</v>
      </c>
      <c r="BE2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31.649399575104255</v>
      </c>
      <c r="BF2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53.394905405618061</v>
      </c>
      <c r="BG2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75.893968368872436</v>
      </c>
      <c r="BH2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93.4410844598316</v>
      </c>
      <c r="BI2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96.885917066645689</v>
      </c>
      <c r="BJ2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98.446856841608309</v>
      </c>
      <c r="BK2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85.0981304902038</v>
      </c>
      <c r="BL2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59.746315524431509</v>
      </c>
      <c r="BM2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38.377588260287979</v>
      </c>
      <c r="BN2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17.762418128885045</v>
      </c>
      <c r="BO2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15.017317145330079</v>
      </c>
      <c r="BP228">
        <f>SUM(Таб[[#This Row],[1]:[12]])</f>
        <v>684.06840000000011</v>
      </c>
    </row>
    <row r="229" spans="2:68" ht="38.25">
      <c r="B229" t="s">
        <v>384</v>
      </c>
      <c r="C229" t="str">
        <f>IFERROR(VLOOKUP(Таб[[#This Row],[Зелений Тариф ЕЦ]],Sheet6!$H$9:$I$29,2,FALSE),"")</f>
        <v>Земля</v>
      </c>
      <c r="G229" s="1" t="s">
        <v>623</v>
      </c>
      <c r="H229" t="s">
        <v>82</v>
      </c>
      <c r="I229" t="s">
        <v>624</v>
      </c>
      <c r="J229" s="7">
        <v>1.125</v>
      </c>
      <c r="K229" s="8"/>
      <c r="L229" s="8">
        <v>43596</v>
      </c>
      <c r="M229">
        <v>5</v>
      </c>
      <c r="N229" s="49" t="s">
        <v>57</v>
      </c>
      <c r="O229">
        <v>2019</v>
      </c>
      <c r="P229">
        <v>0.15029999999999999</v>
      </c>
      <c r="Q229" s="10"/>
      <c r="R229" s="11">
        <f>ROUND(Таб[[#This Row],[Зелений Тариф ЕЦ]]+Таб[[#This Row],[Зелений Тариф ЕЦ]]*Таб[[#This Row],[% надбавки]],4)</f>
        <v>0.15029999999999999</v>
      </c>
      <c r="S229" s="12"/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0.11899999999999999</v>
      </c>
      <c r="BD2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36.225984341805024</v>
      </c>
      <c r="BE2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62.465920214021565</v>
      </c>
      <c r="BF2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105.38468172161461</v>
      </c>
      <c r="BG2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149.79072704382722</v>
      </c>
      <c r="BH2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184.42319301282555</v>
      </c>
      <c r="BI2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191.22220473680068</v>
      </c>
      <c r="BJ2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194.30300692422691</v>
      </c>
      <c r="BK2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167.95683649382329</v>
      </c>
      <c r="BL2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117.92035958769378</v>
      </c>
      <c r="BM2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75.745239987410486</v>
      </c>
      <c r="BN2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35.057404201746799</v>
      </c>
      <c r="BO2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29.639441734204112</v>
      </c>
      <c r="BP229">
        <f>SUM(Таб[[#This Row],[1]:[12]])</f>
        <v>1350.1350000000002</v>
      </c>
    </row>
    <row r="230" spans="2:68">
      <c r="B230" t="s">
        <v>384</v>
      </c>
      <c r="C230" t="str">
        <f>IFERROR(VLOOKUP(Таб[[#This Row],[Зелений Тариф ЕЦ]],Sheet6!$H$9:$I$29,2,FALSE),"")</f>
        <v>Земля</v>
      </c>
      <c r="G230" s="1" t="s">
        <v>626</v>
      </c>
      <c r="H230" t="s">
        <v>122</v>
      </c>
      <c r="I230" t="s">
        <v>316</v>
      </c>
      <c r="J230" s="7">
        <v>1.0369999999999999</v>
      </c>
      <c r="K230" s="8"/>
      <c r="L230" s="8">
        <v>43340</v>
      </c>
      <c r="M230">
        <v>8</v>
      </c>
      <c r="N230" s="49" t="s">
        <v>60</v>
      </c>
      <c r="O230">
        <v>2018</v>
      </c>
      <c r="P230">
        <v>0.15029999999999999</v>
      </c>
      <c r="Q230" s="10"/>
      <c r="R230" s="11">
        <f>ROUND(Таб[[#This Row],[Зелений Тариф ЕЦ]]+Таб[[#This Row],[Зелений Тариф ЕЦ]]*Таб[[#This Row],[% надбавки]],4)</f>
        <v>0.15029999999999999</v>
      </c>
      <c r="S230" s="12"/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0.1</v>
      </c>
      <c r="AU230">
        <v>0.14399999999999999</v>
      </c>
      <c r="AV230">
        <v>0.14000000000000001</v>
      </c>
      <c r="AW230">
        <v>0.14899999999999999</v>
      </c>
      <c r="AX230">
        <v>0.17299999999999999</v>
      </c>
      <c r="AY230">
        <v>0.152</v>
      </c>
      <c r="BD2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33.392307344401608</v>
      </c>
      <c r="BE2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57.579697121724763</v>
      </c>
      <c r="BF2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97.141257729168288</v>
      </c>
      <c r="BG2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138.0737635061767</v>
      </c>
      <c r="BH2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169.99720102604451</v>
      </c>
      <c r="BI2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176.26437894405538</v>
      </c>
      <c r="BJ2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179.10419393815403</v>
      </c>
      <c r="BK2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154.81887950586199</v>
      </c>
      <c r="BL2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108.69636701550083</v>
      </c>
      <c r="BM2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69.820278992839718</v>
      </c>
      <c r="BN2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32.315136139743487</v>
      </c>
      <c r="BO2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27.320978736328588</v>
      </c>
      <c r="BP230">
        <f>SUM(Таб[[#This Row],[1]:[12]])</f>
        <v>1244.5244400000001</v>
      </c>
    </row>
    <row r="231" spans="2:68" ht="25.5">
      <c r="B231" t="s">
        <v>384</v>
      </c>
      <c r="C231" t="str">
        <f>IFERROR(VLOOKUP(Таб[[#This Row],[Зелений Тариф ЕЦ]],Sheet6!$H$9:$I$29,2,FALSE),"")</f>
        <v>Земля</v>
      </c>
      <c r="D231" t="s">
        <v>3362</v>
      </c>
      <c r="F231" t="s">
        <v>3287</v>
      </c>
      <c r="G231" s="1" t="s">
        <v>628</v>
      </c>
      <c r="H231" t="s">
        <v>73</v>
      </c>
      <c r="I231" t="s">
        <v>284</v>
      </c>
      <c r="J231" s="7">
        <v>18.818999999999999</v>
      </c>
      <c r="K231" s="8"/>
      <c r="L231" s="8">
        <v>43441</v>
      </c>
      <c r="M231">
        <v>12</v>
      </c>
      <c r="N231" s="49" t="s">
        <v>71</v>
      </c>
      <c r="O231">
        <v>2018</v>
      </c>
      <c r="P231">
        <v>0.15029999999999999</v>
      </c>
      <c r="Q231" s="10">
        <v>0.05</v>
      </c>
      <c r="R231" s="11">
        <f>ROUND(Таб[[#This Row],[Зелений Тариф ЕЦ]]+Таб[[#This Row],[Зелений Тариф ЕЦ]]*Таб[[#This Row],[% надбавки]],4)</f>
        <v>0.1578</v>
      </c>
      <c r="S231" s="12">
        <v>43448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1.006</v>
      </c>
      <c r="AT231">
        <v>2.1629999999999998</v>
      </c>
      <c r="AU231">
        <v>2.5190000000000001</v>
      </c>
      <c r="AV231">
        <v>2.887</v>
      </c>
      <c r="AW231">
        <v>2.968</v>
      </c>
      <c r="AX231">
        <v>3.1469999999999998</v>
      </c>
      <c r="AY231">
        <v>2.7450000000000001</v>
      </c>
      <c r="BD2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605.98826606971443</v>
      </c>
      <c r="BE2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1044.9299133401528</v>
      </c>
      <c r="BF2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1762.8749558391689</v>
      </c>
      <c r="BG2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2505.6992819891416</v>
      </c>
      <c r="BH2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3085.0311727185458</v>
      </c>
      <c r="BI2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3198.7650408372019</v>
      </c>
      <c r="BJ2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3250.3006998284673</v>
      </c>
      <c r="BK2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2809.5819608686757</v>
      </c>
      <c r="BL2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1972.5717751829413</v>
      </c>
      <c r="BM2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1267.0663745094027</v>
      </c>
      <c r="BN2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586.44025748682043</v>
      </c>
      <c r="BO2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495.80858132976624</v>
      </c>
      <c r="BP231">
        <f>SUM(Таб[[#This Row],[1]:[12]])</f>
        <v>22585.058279999997</v>
      </c>
    </row>
    <row r="232" spans="2:68" ht="25.5">
      <c r="B232" t="s">
        <v>384</v>
      </c>
      <c r="C232" t="str">
        <f>IFERROR(VLOOKUP(Таб[[#This Row],[Зелений Тариф ЕЦ]],Sheet6!$H$9:$I$29,2,FALSE),"")</f>
        <v>Земля</v>
      </c>
      <c r="D232" t="s">
        <v>3366</v>
      </c>
      <c r="F232" t="s">
        <v>3287</v>
      </c>
      <c r="G232" s="1" t="s">
        <v>631</v>
      </c>
      <c r="H232" t="s">
        <v>136</v>
      </c>
      <c r="I232" t="s">
        <v>632</v>
      </c>
      <c r="J232" s="7">
        <v>16.988</v>
      </c>
      <c r="K232" s="8"/>
      <c r="L232" s="8">
        <v>42941</v>
      </c>
      <c r="M232">
        <v>7</v>
      </c>
      <c r="N232" s="49" t="s">
        <v>60</v>
      </c>
      <c r="O232">
        <v>2017</v>
      </c>
      <c r="P232">
        <v>0.15029999999999999</v>
      </c>
      <c r="Q232" s="10">
        <v>0.05</v>
      </c>
      <c r="R232" s="11">
        <f>ROUND(Таб[[#This Row],[Зелений Тариф ЕЦ]]+Таб[[#This Row],[Зелений Тариф ЕЦ]]*Таб[[#This Row],[% надбавки]],4)</f>
        <v>0.1578</v>
      </c>
      <c r="S232" s="12">
        <v>43144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2.5139999999999998</v>
      </c>
      <c r="AB232">
        <v>2.2610000000000006</v>
      </c>
      <c r="AC232">
        <v>1.0309999999999997</v>
      </c>
      <c r="AD232">
        <v>0.37099999999999955</v>
      </c>
      <c r="AE232">
        <v>0.28900000000000059</v>
      </c>
      <c r="AF232">
        <v>0.497</v>
      </c>
      <c r="AG232">
        <v>0.56699999999999995</v>
      </c>
      <c r="AH232">
        <v>1.522</v>
      </c>
      <c r="AI232">
        <v>2.62</v>
      </c>
      <c r="AJ232">
        <v>2.96</v>
      </c>
      <c r="AK232">
        <v>2.8650000000000002</v>
      </c>
      <c r="AL232">
        <v>2.7909999999999999</v>
      </c>
      <c r="AM232">
        <v>2.9860000000000002</v>
      </c>
      <c r="AN232">
        <v>1.837</v>
      </c>
      <c r="AO232">
        <v>1.8049999999999999</v>
      </c>
      <c r="AP232">
        <v>0.56200000000000006</v>
      </c>
      <c r="AQ232">
        <v>0.21099999999999999</v>
      </c>
      <c r="AR232">
        <v>0.39600000000000002</v>
      </c>
      <c r="AS232">
        <v>0.83499999999999996</v>
      </c>
      <c r="AT232">
        <v>1.9239999999999999</v>
      </c>
      <c r="AU232">
        <v>2.4729999999999999</v>
      </c>
      <c r="AV232">
        <v>2.4300000000000002</v>
      </c>
      <c r="AW232">
        <v>2.79</v>
      </c>
      <c r="AX232">
        <v>2.964</v>
      </c>
      <c r="AY232">
        <v>2.681</v>
      </c>
      <c r="BD2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547.02846399874113</v>
      </c>
      <c r="BE2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943.26315786293185</v>
      </c>
      <c r="BF2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1591.3555316327008</v>
      </c>
      <c r="BG2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2261.9065520182544</v>
      </c>
      <c r="BH2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2784.8721803572271</v>
      </c>
      <c r="BI2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2887.5402791722404</v>
      </c>
      <c r="BJ2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2934.0617614477928</v>
      </c>
      <c r="BK2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2536.2228785396173</v>
      </c>
      <c r="BL2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1780.6498388228817</v>
      </c>
      <c r="BM2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1143.7867883610038</v>
      </c>
      <c r="BN2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529.38238451491077</v>
      </c>
      <c r="BO2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447.56874327169726</v>
      </c>
      <c r="BP232">
        <f>SUM(Таб[[#This Row],[1]:[12]])</f>
        <v>20387.638559999999</v>
      </c>
    </row>
    <row r="233" spans="2:68" ht="38.25">
      <c r="B233" t="s">
        <v>384</v>
      </c>
      <c r="C233" t="str">
        <f>IFERROR(VLOOKUP(Таб[[#This Row],[Зелений Тариф ЕЦ]],Sheet6!$H$9:$I$29,2,FALSE),"")</f>
        <v>Земля</v>
      </c>
      <c r="D233" t="s">
        <v>3374</v>
      </c>
      <c r="E233" t="s">
        <v>3374</v>
      </c>
      <c r="F233" t="s">
        <v>3375</v>
      </c>
      <c r="G233" s="1" t="s">
        <v>634</v>
      </c>
      <c r="H233" t="s">
        <v>107</v>
      </c>
      <c r="I233" t="s">
        <v>301</v>
      </c>
      <c r="J233" s="7">
        <v>33.984000000000002</v>
      </c>
      <c r="K233" s="8"/>
      <c r="L233" s="8">
        <v>43616</v>
      </c>
      <c r="M233">
        <v>5</v>
      </c>
      <c r="N233" s="49" t="s">
        <v>57</v>
      </c>
      <c r="O233">
        <v>2019</v>
      </c>
      <c r="P233">
        <v>0.15029999999999999</v>
      </c>
      <c r="Q233" s="10"/>
      <c r="R233" s="11">
        <f>ROUND(Таб[[#This Row],[Зелений Тариф ЕЦ]]+Таб[[#This Row],[Зелений Тариф ЕЦ]]*Таб[[#This Row],[% надбавки]],4)</f>
        <v>0.15029999999999999</v>
      </c>
      <c r="S233" s="12"/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6.0209999999999999</v>
      </c>
      <c r="AX233">
        <v>4.8860000000000001</v>
      </c>
      <c r="AY233">
        <v>4.7939999999999996</v>
      </c>
      <c r="BD2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1094.3145349972463</v>
      </c>
      <c r="BE2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1886.9705178251636</v>
      </c>
      <c r="BF2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3183.4604654465343</v>
      </c>
      <c r="BG2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4524.8782825399321</v>
      </c>
      <c r="BH2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5571.0558145314344</v>
      </c>
      <c r="BI2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5776.4403606892747</v>
      </c>
      <c r="BJ2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5869.5052331670477</v>
      </c>
      <c r="BK2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5073.6401168054144</v>
      </c>
      <c r="BL2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3562.1382224250538</v>
      </c>
      <c r="BM2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2288.1122095396963</v>
      </c>
      <c r="BN2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1059.0140661263672</v>
      </c>
      <c r="BO2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895.34825590683772</v>
      </c>
      <c r="BP233">
        <f>SUM(Таб[[#This Row],[1]:[12]])</f>
        <v>40784.878079999995</v>
      </c>
    </row>
    <row r="234" spans="2:68" ht="63.75">
      <c r="B234" t="s">
        <v>384</v>
      </c>
      <c r="C234" t="str">
        <f>IFERROR(VLOOKUP(Таб[[#This Row],[Зелений Тариф ЕЦ]],Sheet6!$H$9:$I$29,2,FALSE),"")</f>
        <v>Земля</v>
      </c>
      <c r="D234" t="s">
        <v>776</v>
      </c>
      <c r="F234" t="s">
        <v>3287</v>
      </c>
      <c r="G234" s="1" t="s">
        <v>637</v>
      </c>
      <c r="H234" t="s">
        <v>107</v>
      </c>
      <c r="I234" t="s">
        <v>301</v>
      </c>
      <c r="J234" s="7">
        <v>6</v>
      </c>
      <c r="K234" s="8"/>
      <c r="L234" s="8">
        <v>42943</v>
      </c>
      <c r="M234">
        <v>7</v>
      </c>
      <c r="N234" s="49" t="s">
        <v>60</v>
      </c>
      <c r="O234">
        <v>2017</v>
      </c>
      <c r="P234">
        <v>0.15029999999999999</v>
      </c>
      <c r="Q234" s="10">
        <v>0.05</v>
      </c>
      <c r="R234" s="11">
        <f>ROUND(Таб[[#This Row],[Зелений Тариф ЕЦ]]+Таб[[#This Row],[Зелений Тариф ЕЦ]]*Таб[[#This Row],[% надбавки]],4)</f>
        <v>0.1578</v>
      </c>
      <c r="S234" s="12">
        <v>43130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0.69599999999999995</v>
      </c>
      <c r="AC234">
        <v>0.31699999999999995</v>
      </c>
      <c r="AD234">
        <v>0.14000000000000012</v>
      </c>
      <c r="AE234">
        <v>7.4999999999999956E-2</v>
      </c>
      <c r="AF234">
        <v>0.19400000000000001</v>
      </c>
      <c r="AG234">
        <v>0.28999999999999998</v>
      </c>
      <c r="AH234">
        <v>0.50600000000000001</v>
      </c>
      <c r="AI234">
        <v>0.90500000000000003</v>
      </c>
      <c r="AJ234">
        <v>1.1000000000000001</v>
      </c>
      <c r="AK234">
        <v>0.96899999999999997</v>
      </c>
      <c r="AL234">
        <v>0.84799999999999998</v>
      </c>
      <c r="AM234">
        <v>0.98099999999999998</v>
      </c>
      <c r="AN234">
        <v>0.68200000000000005</v>
      </c>
      <c r="AO234">
        <v>0.55500000000000005</v>
      </c>
      <c r="AP234">
        <v>0.22</v>
      </c>
      <c r="AQ234">
        <v>1.4E-2</v>
      </c>
      <c r="AR234">
        <v>0.127</v>
      </c>
      <c r="AS234">
        <v>0.27700000000000002</v>
      </c>
      <c r="AT234">
        <v>0.58299999999999996</v>
      </c>
      <c r="AU234">
        <v>0.78300000000000003</v>
      </c>
      <c r="AV234">
        <v>0.85699999999999998</v>
      </c>
      <c r="AW234">
        <v>1.0629999999999999</v>
      </c>
      <c r="AX234">
        <v>0.95</v>
      </c>
      <c r="AY234">
        <v>0.91600000000000004</v>
      </c>
      <c r="BD2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193.20524982296016</v>
      </c>
      <c r="BE2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333.15157447478168</v>
      </c>
      <c r="BF2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562.05163584861134</v>
      </c>
      <c r="BG2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798.88387756707834</v>
      </c>
      <c r="BH2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983.59036273506968</v>
      </c>
      <c r="BI2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1019.8517585962704</v>
      </c>
      <c r="BJ2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1036.2827035958771</v>
      </c>
      <c r="BK2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895.76979463372413</v>
      </c>
      <c r="BL2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628.90858446770005</v>
      </c>
      <c r="BM2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403.97461326618929</v>
      </c>
      <c r="BN2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186.97282240931628</v>
      </c>
      <c r="BO2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158.07702258242193</v>
      </c>
      <c r="BP234">
        <f>SUM(Таб[[#This Row],[1]:[12]])</f>
        <v>7200.7199999999993</v>
      </c>
    </row>
    <row r="235" spans="2:68" ht="63.75">
      <c r="B235" t="s">
        <v>384</v>
      </c>
      <c r="C235" t="str">
        <f>IFERROR(VLOOKUP(Таб[[#This Row],[Зелений Тариф ЕЦ]],Sheet6!$H$9:$I$29,2,FALSE),"")</f>
        <v>Земля</v>
      </c>
      <c r="D235" t="s">
        <v>3374</v>
      </c>
      <c r="E235" t="s">
        <v>3374</v>
      </c>
      <c r="F235" t="s">
        <v>3375</v>
      </c>
      <c r="G235" s="1" t="s">
        <v>640</v>
      </c>
      <c r="H235" t="s">
        <v>107</v>
      </c>
      <c r="I235" t="s">
        <v>301</v>
      </c>
      <c r="J235" s="7">
        <v>11.641999999999999</v>
      </c>
      <c r="K235" s="8"/>
      <c r="L235" s="8">
        <v>43616</v>
      </c>
      <c r="M235">
        <v>5</v>
      </c>
      <c r="N235" s="49" t="s">
        <v>57</v>
      </c>
      <c r="O235">
        <v>2019</v>
      </c>
      <c r="P235">
        <v>0.15029999999999999</v>
      </c>
      <c r="Q235" s="10"/>
      <c r="R235" s="11">
        <f>ROUND(Таб[[#This Row],[Зелений Тариф ЕЦ]]+Таб[[#This Row],[Зелений Тариф ЕЦ]]*Таб[[#This Row],[% надбавки]],4)</f>
        <v>0.15029999999999999</v>
      </c>
      <c r="S235" s="12"/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1.8759999999999999</v>
      </c>
      <c r="AX235">
        <v>1.712</v>
      </c>
      <c r="AY235">
        <v>1.758</v>
      </c>
      <c r="BD2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374.8825864064836</v>
      </c>
      <c r="BE2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646.42510500590129</v>
      </c>
      <c r="BF2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1090.5675240915884</v>
      </c>
      <c r="BG2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1550.1010171059879</v>
      </c>
      <c r="BH2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1908.4931671602799</v>
      </c>
      <c r="BI2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1978.852362262963</v>
      </c>
      <c r="BJ2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2010.7338725438665</v>
      </c>
      <c r="BK2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1738.0919915209693</v>
      </c>
      <c r="BL2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1220.2922900621606</v>
      </c>
      <c r="BM2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783.84540794082909</v>
      </c>
      <c r="BN2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362.78959974820998</v>
      </c>
      <c r="BO2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306.72211615075929</v>
      </c>
      <c r="BP235">
        <f>SUM(Таб[[#This Row],[1]:[12]])</f>
        <v>13971.797039999999</v>
      </c>
    </row>
    <row r="236" spans="2:68" ht="63.75">
      <c r="B236" t="s">
        <v>384</v>
      </c>
      <c r="C236" t="str">
        <f>IFERROR(VLOOKUP(Таб[[#This Row],[Зелений Тариф ЕЦ]],Sheet6!$H$9:$I$29,2,FALSE),"")</f>
        <v>Земля</v>
      </c>
      <c r="D236" t="s">
        <v>3374</v>
      </c>
      <c r="E236" t="s">
        <v>3374</v>
      </c>
      <c r="F236" t="s">
        <v>3375</v>
      </c>
      <c r="G236" s="1" t="s">
        <v>642</v>
      </c>
      <c r="H236" t="s">
        <v>107</v>
      </c>
      <c r="I236" t="s">
        <v>301</v>
      </c>
      <c r="J236" s="7">
        <v>11.975</v>
      </c>
      <c r="K236" s="8"/>
      <c r="L236" s="8">
        <v>43616</v>
      </c>
      <c r="M236">
        <v>5</v>
      </c>
      <c r="N236" s="49" t="s">
        <v>57</v>
      </c>
      <c r="O236">
        <v>2019</v>
      </c>
      <c r="P236">
        <v>0.15029999999999999</v>
      </c>
      <c r="Q236" s="10"/>
      <c r="R236" s="11">
        <f>ROUND(Таб[[#This Row],[Зелений Тариф ЕЦ]]+Таб[[#This Row],[Зелений Тариф ЕЦ]]*Таб[[#This Row],[% надбавки]],4)</f>
        <v>0.15029999999999999</v>
      </c>
      <c r="S236" s="12"/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1.901</v>
      </c>
      <c r="AX236">
        <v>1.7529999999999999</v>
      </c>
      <c r="AY236">
        <v>1.8109999999999999</v>
      </c>
      <c r="BD2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385.60547777165789</v>
      </c>
      <c r="BE2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664.91501738925172</v>
      </c>
      <c r="BF2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1121.7613898811865</v>
      </c>
      <c r="BG2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1594.4390723109605</v>
      </c>
      <c r="BH2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1963.0824322920764</v>
      </c>
      <c r="BI2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2035.4541348650562</v>
      </c>
      <c r="BJ2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2068.2475625934376</v>
      </c>
      <c r="BK2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1787.8072151231413</v>
      </c>
      <c r="BL2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1255.1967165001183</v>
      </c>
      <c r="BM2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806.26599897710275</v>
      </c>
      <c r="BN2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373.16659139192706</v>
      </c>
      <c r="BO2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315.49539090408371</v>
      </c>
      <c r="BP236">
        <f>SUM(Таб[[#This Row],[1]:[12]])</f>
        <v>14371.437</v>
      </c>
    </row>
    <row r="237" spans="2:68" ht="38.25">
      <c r="B237" t="s">
        <v>384</v>
      </c>
      <c r="C237" t="str">
        <f>IFERROR(VLOOKUP(Таб[[#This Row],[Зелений Тариф ЕЦ]],Sheet6!$H$9:$I$29,2,FALSE),"")</f>
        <v>Земля</v>
      </c>
      <c r="G237" s="1" t="s">
        <v>644</v>
      </c>
      <c r="H237" t="s">
        <v>122</v>
      </c>
      <c r="I237" t="s">
        <v>646</v>
      </c>
      <c r="J237" s="7">
        <v>1.6439999999999999</v>
      </c>
      <c r="K237" s="8"/>
      <c r="L237" s="8">
        <v>42838</v>
      </c>
      <c r="M237">
        <v>4</v>
      </c>
      <c r="N237" s="49" t="s">
        <v>57</v>
      </c>
      <c r="O237">
        <v>2017</v>
      </c>
      <c r="P237">
        <v>0.15989999999999999</v>
      </c>
      <c r="Q237" s="10"/>
      <c r="R237" s="11">
        <f>ROUND(Таб[[#This Row],[Зелений Тариф ЕЦ]]+Таб[[#This Row],[Зелений Тариф ЕЦ]]*Таб[[#This Row],[% надбавки]],4)</f>
        <v>0.15989999999999999</v>
      </c>
      <c r="S237" s="12"/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0.26400000000000001</v>
      </c>
      <c r="AA237">
        <v>0.25800000000000001</v>
      </c>
      <c r="AB237">
        <v>0.22299999999999998</v>
      </c>
      <c r="AC237">
        <v>9.3999999999999972E-2</v>
      </c>
      <c r="AD237">
        <v>4.7000000000000042E-2</v>
      </c>
      <c r="AE237">
        <v>2.8000000000000025E-2</v>
      </c>
      <c r="AF237">
        <v>4.1000000000000002E-2</v>
      </c>
      <c r="AG237">
        <v>7.4999999999999997E-2</v>
      </c>
      <c r="AH237">
        <v>0.158</v>
      </c>
      <c r="AI237">
        <v>0.24399999999999999</v>
      </c>
      <c r="AJ237">
        <v>0.28100000000000003</v>
      </c>
      <c r="AK237">
        <v>0.29099999999999998</v>
      </c>
      <c r="AL237">
        <v>0.25800000000000001</v>
      </c>
      <c r="AM237">
        <v>0.29199999999999998</v>
      </c>
      <c r="AN237">
        <v>0.185</v>
      </c>
      <c r="AO237">
        <v>0.17100000000000001</v>
      </c>
      <c r="AP237">
        <v>7.2999999999999995E-2</v>
      </c>
      <c r="AQ237">
        <v>1.2999999999999999E-2</v>
      </c>
      <c r="AR237">
        <v>4.5999999999999999E-2</v>
      </c>
      <c r="AS237">
        <v>7.0000000000000007E-2</v>
      </c>
      <c r="AT237">
        <v>0.161</v>
      </c>
      <c r="AU237">
        <v>0.23</v>
      </c>
      <c r="AV237">
        <v>0.253</v>
      </c>
      <c r="AW237">
        <v>0.28599999999999998</v>
      </c>
      <c r="AX237">
        <v>0.27100000000000002</v>
      </c>
      <c r="AY237">
        <v>0.26</v>
      </c>
      <c r="BD2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52.938238451491074</v>
      </c>
      <c r="BE2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91.283531406090177</v>
      </c>
      <c r="BF2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154.00214822251948</v>
      </c>
      <c r="BG2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218.89418245337947</v>
      </c>
      <c r="BH2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269.50375938940903</v>
      </c>
      <c r="BI2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279.43938185537809</v>
      </c>
      <c r="BJ2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283.94146078527024</v>
      </c>
      <c r="BK2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245.44092372964042</v>
      </c>
      <c r="BL2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172.32095214414983</v>
      </c>
      <c r="BM2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110.68904403493586</v>
      </c>
      <c r="BN2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51.230553340152653</v>
      </c>
      <c r="BO2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43.313104187583605</v>
      </c>
      <c r="BP237">
        <f>SUM(Таб[[#This Row],[1]:[12]])</f>
        <v>1972.9972799999998</v>
      </c>
    </row>
    <row r="238" spans="2:68" ht="38.25">
      <c r="B238" t="s">
        <v>384</v>
      </c>
      <c r="C238" t="str">
        <f>IFERROR(VLOOKUP(Таб[[#This Row],[Зелений Тариф ЕЦ]],Sheet6!$H$9:$I$29,2,FALSE),"")</f>
        <v>Земля</v>
      </c>
      <c r="G238" s="1" t="s">
        <v>644</v>
      </c>
      <c r="H238" t="s">
        <v>122</v>
      </c>
      <c r="I238" t="s">
        <v>648</v>
      </c>
      <c r="J238" s="7">
        <v>9.359</v>
      </c>
      <c r="K238" s="8"/>
      <c r="L238" s="8">
        <v>43613</v>
      </c>
      <c r="M238">
        <v>5</v>
      </c>
      <c r="N238" s="49" t="s">
        <v>57</v>
      </c>
      <c r="O238">
        <v>2019</v>
      </c>
      <c r="P238">
        <v>0.15029999999999999</v>
      </c>
      <c r="Q238" s="10">
        <v>0.05</v>
      </c>
      <c r="R238" s="11">
        <f>ROUND(Таб[[#This Row],[Зелений Тариф ЕЦ]]+Таб[[#This Row],[Зелений Тариф ЕЦ]]*Таб[[#This Row],[% надбавки]],4)</f>
        <v>0.1578</v>
      </c>
      <c r="S238" s="12">
        <v>43641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0.88300000000000001</v>
      </c>
      <c r="AY238">
        <v>1.5</v>
      </c>
      <c r="BD2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301.36798884884729</v>
      </c>
      <c r="BE2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519.660930918247</v>
      </c>
      <c r="BF2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876.70687665119203</v>
      </c>
      <c r="BG2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1246.1257016917145</v>
      </c>
      <c r="BH2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1534.2370341395861</v>
      </c>
      <c r="BI2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1590.7987681170823</v>
      </c>
      <c r="BJ2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1616.4283038256353</v>
      </c>
      <c r="BK2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1397.2515846628373</v>
      </c>
      <c r="BL2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980.99257367220093</v>
      </c>
      <c r="BM2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630.1330675930443</v>
      </c>
      <c r="BN2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291.64644082146515</v>
      </c>
      <c r="BO2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246.57380905814776</v>
      </c>
      <c r="BP238">
        <f>SUM(Таб[[#This Row],[1]:[12]])</f>
        <v>11231.92308</v>
      </c>
    </row>
    <row r="239" spans="2:68" ht="51">
      <c r="B239" t="s">
        <v>384</v>
      </c>
      <c r="C239" t="str">
        <f>IFERROR(VLOOKUP(Таб[[#This Row],[Зелений Тариф ЕЦ]],Sheet6!$H$9:$I$29,2,FALSE),"")</f>
        <v>Земля</v>
      </c>
      <c r="G239" s="1" t="s">
        <v>650</v>
      </c>
      <c r="H239" t="s">
        <v>122</v>
      </c>
      <c r="I239" t="s">
        <v>316</v>
      </c>
      <c r="J239" s="7">
        <v>2.16</v>
      </c>
      <c r="K239" s="8"/>
      <c r="L239" s="8">
        <v>43441</v>
      </c>
      <c r="M239">
        <v>12</v>
      </c>
      <c r="N239" s="49" t="s">
        <v>71</v>
      </c>
      <c r="O239">
        <v>2018</v>
      </c>
      <c r="P239">
        <v>0.15029999999999999</v>
      </c>
      <c r="Q239" s="10"/>
      <c r="R239" s="11">
        <f>ROUND(Таб[[#This Row],[Зелений Тариф ЕЦ]]+Таб[[#This Row],[Зелений Тариф ЕЦ]]*Таб[[#This Row],[% надбавки]],4)</f>
        <v>0.15029999999999999</v>
      </c>
      <c r="S239" s="12"/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0.34300000000000003</v>
      </c>
      <c r="AX239">
        <v>0.33700000000000002</v>
      </c>
      <c r="AY239">
        <v>0.34100000000000003</v>
      </c>
      <c r="BD2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69.553889936265648</v>
      </c>
      <c r="BE2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119.93456681092141</v>
      </c>
      <c r="BF2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202.33858890550005</v>
      </c>
      <c r="BG2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287.59819592414823</v>
      </c>
      <c r="BH2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354.09253058462508</v>
      </c>
      <c r="BI2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367.14663309465737</v>
      </c>
      <c r="BJ2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373.06177329451572</v>
      </c>
      <c r="BK2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322.47712606814071</v>
      </c>
      <c r="BL2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226.40709040837206</v>
      </c>
      <c r="BM2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145.43086077582814</v>
      </c>
      <c r="BN2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67.310216067353849</v>
      </c>
      <c r="BO2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56.907728129671888</v>
      </c>
      <c r="BP239">
        <f>SUM(Таб[[#This Row],[1]:[12]])</f>
        <v>2592.2592</v>
      </c>
    </row>
    <row r="240" spans="2:68" ht="38.25">
      <c r="B240" t="s">
        <v>384</v>
      </c>
      <c r="C240" t="str">
        <f>IFERROR(VLOOKUP(Таб[[#This Row],[Зелений Тариф ЕЦ]],Sheet6!$H$9:$I$29,2,FALSE),"")</f>
        <v>Земля</v>
      </c>
      <c r="G240" s="1" t="s">
        <v>652</v>
      </c>
      <c r="H240" t="s">
        <v>198</v>
      </c>
      <c r="I240" t="s">
        <v>653</v>
      </c>
      <c r="J240" s="7">
        <v>1.794</v>
      </c>
      <c r="K240" s="8"/>
      <c r="L240" s="8">
        <v>43637</v>
      </c>
      <c r="M240">
        <v>6</v>
      </c>
      <c r="N240" s="49" t="s">
        <v>57</v>
      </c>
      <c r="O240">
        <v>2019</v>
      </c>
      <c r="P240">
        <v>0.15029999999999999</v>
      </c>
      <c r="Q240" s="10"/>
      <c r="R240" s="11">
        <f>ROUND(Таб[[#This Row],[Зелений Тариф ЕЦ]]+Таб[[#This Row],[Зелений Тариф ЕЦ]]*Таб[[#This Row],[% надбавки]],4)</f>
        <v>0.15029999999999999</v>
      </c>
      <c r="S240" s="12"/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BD2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57.76836969706509</v>
      </c>
      <c r="BE2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99.612320767959716</v>
      </c>
      <c r="BF2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168.05343911873476</v>
      </c>
      <c r="BG2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238.86627939255646</v>
      </c>
      <c r="BH2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294.09351845778582</v>
      </c>
      <c r="BI2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304.93567582028481</v>
      </c>
      <c r="BJ2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309.84852837516723</v>
      </c>
      <c r="BK2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267.83516859548354</v>
      </c>
      <c r="BL2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188.04366675584237</v>
      </c>
      <c r="BM2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120.7884093665906</v>
      </c>
      <c r="BN2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55.904873900385567</v>
      </c>
      <c r="BO2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47.265029752144144</v>
      </c>
      <c r="BP240">
        <f>SUM(Таб[[#This Row],[1]:[12]])</f>
        <v>2153.0152800000001</v>
      </c>
    </row>
    <row r="241" spans="2:68" ht="38.25">
      <c r="B241" t="s">
        <v>384</v>
      </c>
      <c r="C241" t="str">
        <f>IFERROR(VLOOKUP(Таб[[#This Row],[Зелений Тариф ЕЦ]],Sheet6!$H$9:$I$29,2,FALSE),"")</f>
        <v>Земля</v>
      </c>
      <c r="D241" t="s">
        <v>3368</v>
      </c>
      <c r="E241" t="s">
        <v>3368</v>
      </c>
      <c r="F241" t="s">
        <v>3369</v>
      </c>
      <c r="G241" s="139" t="s">
        <v>656</v>
      </c>
      <c r="H241" t="s">
        <v>101</v>
      </c>
      <c r="I241" t="s">
        <v>657</v>
      </c>
      <c r="J241" s="7">
        <v>21.515999999999998</v>
      </c>
      <c r="K241" s="8"/>
      <c r="L241" s="8">
        <v>41186</v>
      </c>
      <c r="M241">
        <v>10</v>
      </c>
      <c r="N241" s="49" t="s">
        <v>71</v>
      </c>
      <c r="O241">
        <v>2012</v>
      </c>
      <c r="P241">
        <v>0.25850000000000001</v>
      </c>
      <c r="Q241" s="10"/>
      <c r="R241" s="11">
        <f>ROUND(Таб[[#This Row],[Зелений Тариф ЕЦ]]+Таб[[#This Row],[Зелений Тариф ЕЦ]]*Таб[[#This Row],[% надбавки]],4)</f>
        <v>0.25850000000000001</v>
      </c>
      <c r="S241" s="12"/>
      <c r="T241">
        <v>1.0980000000000001</v>
      </c>
      <c r="U241">
        <v>1.6039999999999999</v>
      </c>
      <c r="V241">
        <v>2.54</v>
      </c>
      <c r="W241">
        <v>2.9539999999999997</v>
      </c>
      <c r="X241">
        <v>3.7430000000000003</v>
      </c>
      <c r="Y241">
        <v>3.6169999999999991</v>
      </c>
      <c r="Z241">
        <v>3.5540000000000003</v>
      </c>
      <c r="AA241">
        <v>3.4990000000000023</v>
      </c>
      <c r="AB241">
        <v>3.1539999999999999</v>
      </c>
      <c r="AC241">
        <v>2.032</v>
      </c>
      <c r="AD241">
        <v>0.84799999999999898</v>
      </c>
      <c r="AE241">
        <v>0.86599999999999966</v>
      </c>
      <c r="AF241">
        <v>1.109</v>
      </c>
      <c r="AG241">
        <v>0.96399999999999997</v>
      </c>
      <c r="AH241">
        <v>1.95</v>
      </c>
      <c r="AI241">
        <v>3.629</v>
      </c>
      <c r="AJ241">
        <v>3.653</v>
      </c>
      <c r="AK241">
        <v>3.2469999999999999</v>
      </c>
      <c r="AL241">
        <v>3.177</v>
      </c>
      <c r="AM241">
        <v>3.677</v>
      </c>
      <c r="AN241">
        <v>2.6059999999999999</v>
      </c>
      <c r="AO241">
        <v>2.7109999999999999</v>
      </c>
      <c r="AP241">
        <v>0.60899999999999999</v>
      </c>
      <c r="AQ241">
        <v>0.68</v>
      </c>
      <c r="AR241">
        <v>0.77300000000000002</v>
      </c>
      <c r="AS241">
        <v>1.3480000000000001</v>
      </c>
      <c r="AT241">
        <v>3.105</v>
      </c>
      <c r="AU241">
        <v>2.8889999999999998</v>
      </c>
      <c r="AV241">
        <v>3.28</v>
      </c>
      <c r="AW241">
        <v>3.3340000000000001</v>
      </c>
      <c r="AX241">
        <v>3.3479999999999999</v>
      </c>
      <c r="AY241">
        <v>3.6259999999999999</v>
      </c>
      <c r="BD2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692.834025865135</v>
      </c>
      <c r="BE2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1194.6815460665671</v>
      </c>
      <c r="BF2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2015.5171661531194</v>
      </c>
      <c r="BG2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2864.7975849555428</v>
      </c>
      <c r="BH2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3527.1550407679588</v>
      </c>
      <c r="BI2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3657.1884063262255</v>
      </c>
      <c r="BJ2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3716.1097750948138</v>
      </c>
      <c r="BK2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3212.2304835565342</v>
      </c>
      <c r="BL2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2255.2661839011726</v>
      </c>
      <c r="BM2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1448.6529631725546</v>
      </c>
      <c r="BN2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670.48454115980803</v>
      </c>
      <c r="BO2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566.86420298056487</v>
      </c>
      <c r="BP241">
        <f>SUM(Таб[[#This Row],[1]:[12]])</f>
        <v>25821.78191999999</v>
      </c>
    </row>
    <row r="242" spans="2:68" ht="38.25">
      <c r="B242" t="s">
        <v>384</v>
      </c>
      <c r="C242" t="str">
        <f>IFERROR(VLOOKUP(Таб[[#This Row],[Зелений Тариф ЕЦ]],Sheet6!$H$9:$I$29,2,FALSE),"")</f>
        <v>Земля</v>
      </c>
      <c r="D242" t="s">
        <v>3368</v>
      </c>
      <c r="E242" t="s">
        <v>3368</v>
      </c>
      <c r="F242" t="s">
        <v>3369</v>
      </c>
      <c r="G242" s="139" t="s">
        <v>660</v>
      </c>
      <c r="H242" t="s">
        <v>101</v>
      </c>
      <c r="I242" t="s">
        <v>657</v>
      </c>
      <c r="J242" s="7">
        <v>21.617999999999999</v>
      </c>
      <c r="K242" s="8"/>
      <c r="L242" s="8">
        <v>41204</v>
      </c>
      <c r="M242">
        <v>10</v>
      </c>
      <c r="N242" s="49" t="s">
        <v>71</v>
      </c>
      <c r="O242">
        <v>2012</v>
      </c>
      <c r="P242">
        <v>0.25850000000000001</v>
      </c>
      <c r="Q242" s="10"/>
      <c r="R242" s="11">
        <f>ROUND(Таб[[#This Row],[Зелений Тариф ЕЦ]]+Таб[[#This Row],[Зелений Тариф ЕЦ]]*Таб[[#This Row],[% надбавки]],4)</f>
        <v>0.25850000000000001</v>
      </c>
      <c r="S242" s="12"/>
      <c r="T242">
        <v>1.069</v>
      </c>
      <c r="U242">
        <v>1.5950000000000002</v>
      </c>
      <c r="V242">
        <v>2.5329999999999999</v>
      </c>
      <c r="W242">
        <v>2.95</v>
      </c>
      <c r="X242">
        <v>3.7359999999999989</v>
      </c>
      <c r="Y242">
        <v>3.5950000000000006</v>
      </c>
      <c r="Z242">
        <v>3.5329999999999995</v>
      </c>
      <c r="AA242">
        <v>3.490000000000002</v>
      </c>
      <c r="AB242">
        <v>3.1379999999999981</v>
      </c>
      <c r="AC242">
        <v>2.0250000000000021</v>
      </c>
      <c r="AD242">
        <v>0.84299999999999997</v>
      </c>
      <c r="AE242">
        <v>0.86199999999999832</v>
      </c>
      <c r="AF242">
        <v>1.103</v>
      </c>
      <c r="AG242">
        <v>0.94799999999999995</v>
      </c>
      <c r="AH242">
        <v>1.9259999999999999</v>
      </c>
      <c r="AI242">
        <v>3.6150000000000002</v>
      </c>
      <c r="AJ242">
        <v>3.6459999999999999</v>
      </c>
      <c r="AK242">
        <v>3.2290000000000001</v>
      </c>
      <c r="AL242">
        <v>3.1659999999999999</v>
      </c>
      <c r="AM242">
        <v>3.6589999999999998</v>
      </c>
      <c r="AN242">
        <v>2.5870000000000002</v>
      </c>
      <c r="AO242">
        <v>2.694</v>
      </c>
      <c r="AP242">
        <v>0.60099999999999998</v>
      </c>
      <c r="AQ242">
        <v>0.67200000000000004</v>
      </c>
      <c r="AR242">
        <v>0.76600000000000001</v>
      </c>
      <c r="AS242">
        <v>1.335</v>
      </c>
      <c r="AT242">
        <v>3.0910000000000002</v>
      </c>
      <c r="AU242">
        <v>2.879</v>
      </c>
      <c r="AV242">
        <v>3.266</v>
      </c>
      <c r="AW242">
        <v>3.319</v>
      </c>
      <c r="AX242">
        <v>3.3420000000000001</v>
      </c>
      <c r="AY242">
        <v>3.6190000000000002</v>
      </c>
      <c r="BD2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696.11851511212535</v>
      </c>
      <c r="BE2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1200.3451228326383</v>
      </c>
      <c r="BF2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2025.0720439625461</v>
      </c>
      <c r="BG2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2878.3786108741833</v>
      </c>
      <c r="BH2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3543.8760769344553</v>
      </c>
      <c r="BI2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3674.5258862223627</v>
      </c>
      <c r="BJ2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3733.7265810559447</v>
      </c>
      <c r="BK2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3227.4585700653079</v>
      </c>
      <c r="BL2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2265.9576298371235</v>
      </c>
      <c r="BM2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1455.5205315980797</v>
      </c>
      <c r="BN2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673.6630791407664</v>
      </c>
      <c r="BO2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569.55151236446602</v>
      </c>
      <c r="BP242">
        <f>SUM(Таб[[#This Row],[1]:[12]])</f>
        <v>25944.194159999999</v>
      </c>
    </row>
    <row r="243" spans="2:68" ht="38.25">
      <c r="B243" t="s">
        <v>384</v>
      </c>
      <c r="C243" t="str">
        <f>IFERROR(VLOOKUP(Таб[[#This Row],[Зелений Тариф ЕЦ]],Sheet6!$H$9:$I$29,2,FALSE),"")</f>
        <v>Земля</v>
      </c>
      <c r="G243" s="1" t="s">
        <v>661</v>
      </c>
      <c r="H243" t="s">
        <v>62</v>
      </c>
      <c r="I243" t="s">
        <v>662</v>
      </c>
      <c r="J243" s="7">
        <v>2.3759999999999999</v>
      </c>
      <c r="K243" s="8"/>
      <c r="L243" s="8">
        <v>43596</v>
      </c>
      <c r="M243">
        <v>5</v>
      </c>
      <c r="N243" s="49" t="s">
        <v>57</v>
      </c>
      <c r="O243">
        <v>2019</v>
      </c>
      <c r="P243">
        <v>0.15029999999999999</v>
      </c>
      <c r="Q243" s="10"/>
      <c r="R243" s="11">
        <f>ROUND(Таб[[#This Row],[Зелений Тариф ЕЦ]]+Таб[[#This Row],[Зелений Тариф ЕЦ]]*Таб[[#This Row],[% надбавки]],4)</f>
        <v>0.15029999999999999</v>
      </c>
      <c r="S243" s="12"/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0.38200000000000001</v>
      </c>
      <c r="AX243">
        <v>0.36799999999999999</v>
      </c>
      <c r="AY243">
        <v>0.35199999999999998</v>
      </c>
      <c r="BD2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76.509278929892204</v>
      </c>
      <c r="BE2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131.92802349201355</v>
      </c>
      <c r="BF2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222.57244779605003</v>
      </c>
      <c r="BG2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316.35801551656306</v>
      </c>
      <c r="BH2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389.50178364308755</v>
      </c>
      <c r="BI2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403.8612964041231</v>
      </c>
      <c r="BJ2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410.36795062396726</v>
      </c>
      <c r="BK2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354.72483867495475</v>
      </c>
      <c r="BL2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249.04779944920924</v>
      </c>
      <c r="BM2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159.97394685341095</v>
      </c>
      <c r="BN2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74.041237674089231</v>
      </c>
      <c r="BO2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62.598500942639077</v>
      </c>
      <c r="BP243">
        <f>SUM(Таб[[#This Row],[1]:[12]])</f>
        <v>2851.4851199999998</v>
      </c>
    </row>
    <row r="244" spans="2:68" ht="38.25">
      <c r="B244" t="s">
        <v>384</v>
      </c>
      <c r="C244" t="str">
        <f>IFERROR(VLOOKUP(Таб[[#This Row],[Зелений Тариф ЕЦ]],Sheet6!$H$9:$I$29,2,FALSE),"")</f>
        <v>Земля</v>
      </c>
      <c r="D244" t="s">
        <v>3356</v>
      </c>
      <c r="F244" t="s">
        <v>3287</v>
      </c>
      <c r="G244" s="1" t="s">
        <v>664</v>
      </c>
      <c r="H244" t="s">
        <v>198</v>
      </c>
      <c r="J244" s="7">
        <v>0.52700000000000002</v>
      </c>
      <c r="K244" s="8"/>
      <c r="L244" s="8">
        <v>43158</v>
      </c>
      <c r="M244">
        <v>2</v>
      </c>
      <c r="N244" s="49" t="s">
        <v>67</v>
      </c>
      <c r="O244">
        <v>2018</v>
      </c>
      <c r="P244">
        <v>0.15029999999999999</v>
      </c>
      <c r="Q244" s="10"/>
      <c r="R244" s="11">
        <f>ROUND(Таб[[#This Row],[Зелений Тариф ЕЦ]]+Таб[[#This Row],[Зелений Тариф ЕЦ]]*Таб[[#This Row],[% надбавки]],4)</f>
        <v>0.15029999999999999</v>
      </c>
      <c r="S244" s="12"/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6.4000000000000001E-2</v>
      </c>
      <c r="AM244">
        <v>8.7999999999999995E-2</v>
      </c>
      <c r="AN244">
        <v>5.5E-2</v>
      </c>
      <c r="AO244">
        <v>4.9000000000000002E-2</v>
      </c>
      <c r="AP244">
        <v>1.2E-2</v>
      </c>
      <c r="AQ244">
        <v>4.0000000000000001E-3</v>
      </c>
      <c r="AR244">
        <v>3.0000000000000001E-3</v>
      </c>
      <c r="AS244">
        <v>2.3E-2</v>
      </c>
      <c r="AT244">
        <v>4.8000000000000001E-2</v>
      </c>
      <c r="AU244">
        <v>6.7000000000000004E-2</v>
      </c>
      <c r="AV244">
        <v>7.1999999999999995E-2</v>
      </c>
      <c r="AW244">
        <v>8.6999999999999994E-2</v>
      </c>
      <c r="AX244">
        <v>7.8E-2</v>
      </c>
      <c r="AY244">
        <v>7.8E-2</v>
      </c>
      <c r="BD2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16.969861109450001</v>
      </c>
      <c r="BE2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29.261813291368323</v>
      </c>
      <c r="BF2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49.366868682036355</v>
      </c>
      <c r="BG2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70.168633912975054</v>
      </c>
      <c r="BH2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86.39202019356361</v>
      </c>
      <c r="BI2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89.576979463372425</v>
      </c>
      <c r="BJ2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91.020164132504533</v>
      </c>
      <c r="BK2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78.678446961995448</v>
      </c>
      <c r="BL2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55.239137335746328</v>
      </c>
      <c r="BM2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35.482436865213629</v>
      </c>
      <c r="BN2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16.422446234951611</v>
      </c>
      <c r="BO2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13.884431816822726</v>
      </c>
      <c r="BP244">
        <f>SUM(Таб[[#This Row],[1]:[12]])</f>
        <v>632.46324000000016</v>
      </c>
    </row>
    <row r="245" spans="2:68" ht="38.25">
      <c r="B245" t="s">
        <v>384</v>
      </c>
      <c r="C245" t="str">
        <f>IFERROR(VLOOKUP(Таб[[#This Row],[Зелений Тариф ЕЦ]],Sheet6!$H$9:$I$29,2,FALSE),"")</f>
        <v>Земля</v>
      </c>
      <c r="D245" t="s">
        <v>3398</v>
      </c>
      <c r="E245" t="s">
        <v>3397</v>
      </c>
      <c r="F245" t="s">
        <v>3399</v>
      </c>
      <c r="G245" s="1" t="s">
        <v>667</v>
      </c>
      <c r="H245" t="s">
        <v>136</v>
      </c>
      <c r="I245" t="s">
        <v>575</v>
      </c>
      <c r="J245" s="7">
        <v>12.367000000000001</v>
      </c>
      <c r="K245" s="8"/>
      <c r="L245" s="8">
        <v>43312</v>
      </c>
      <c r="M245">
        <v>7</v>
      </c>
      <c r="N245" s="49" t="s">
        <v>60</v>
      </c>
      <c r="O245">
        <v>2018</v>
      </c>
      <c r="P245">
        <v>0.15029999999999999</v>
      </c>
      <c r="Q245" s="10">
        <v>0.05</v>
      </c>
      <c r="R245" s="11">
        <f>ROUND(Таб[[#This Row],[Зелений Тариф ЕЦ]]+Таб[[#This Row],[Зелений Тариф ЕЦ]]*Таб[[#This Row],[% надбавки]],4)</f>
        <v>0.1578</v>
      </c>
      <c r="S245" s="12">
        <v>43368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2.0579999999999998</v>
      </c>
      <c r="AN245">
        <v>1.268</v>
      </c>
      <c r="AO245">
        <v>1.2609999999999999</v>
      </c>
      <c r="AP245">
        <v>0.38100000000000001</v>
      </c>
      <c r="AQ245">
        <v>0.11899999999999999</v>
      </c>
      <c r="AR245">
        <v>0.251</v>
      </c>
      <c r="AS245">
        <v>0.55400000000000005</v>
      </c>
      <c r="AT245">
        <v>1.2709999999999999</v>
      </c>
      <c r="AU245">
        <v>1.6060000000000001</v>
      </c>
      <c r="AV245">
        <v>1.446</v>
      </c>
      <c r="AW245">
        <v>2.0419999999999998</v>
      </c>
      <c r="AX245">
        <v>1.95</v>
      </c>
      <c r="AY245">
        <v>1.8620000000000001</v>
      </c>
      <c r="BD2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398.22822076009129</v>
      </c>
      <c r="BE2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686.68092025493763</v>
      </c>
      <c r="BF2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1158.4820967566293</v>
      </c>
      <c r="BG2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1646.6328189786766</v>
      </c>
      <c r="BH2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2027.343669324101</v>
      </c>
      <c r="BI2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2102.0844497600128</v>
      </c>
      <c r="BJ2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2135.951365895035</v>
      </c>
      <c r="BK2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1846.3308417058777</v>
      </c>
      <c r="BL2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1296.2854106853415</v>
      </c>
      <c r="BM2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832.65900704382727</v>
      </c>
      <c r="BN2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385.38214912266903</v>
      </c>
      <c r="BO2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325.82308971280202</v>
      </c>
      <c r="BP245">
        <f>SUM(Таб[[#This Row],[1]:[12]])</f>
        <v>14841.884040000001</v>
      </c>
    </row>
    <row r="246" spans="2:68" ht="25.5">
      <c r="B246" t="s">
        <v>384</v>
      </c>
      <c r="C246" t="str">
        <f>IFERROR(VLOOKUP(Таб[[#This Row],[Зелений Тариф ЕЦ]],Sheet6!$H$9:$I$29,2,FALSE),"")</f>
        <v>Земля</v>
      </c>
      <c r="G246" s="1" t="s">
        <v>668</v>
      </c>
      <c r="H246" t="s">
        <v>136</v>
      </c>
      <c r="I246" t="s">
        <v>621</v>
      </c>
      <c r="J246" s="7">
        <v>6.1980000000000004</v>
      </c>
      <c r="K246" s="8"/>
      <c r="L246" s="8">
        <v>43522</v>
      </c>
      <c r="M246">
        <v>2</v>
      </c>
      <c r="N246" s="49" t="s">
        <v>67</v>
      </c>
      <c r="O246">
        <v>2019</v>
      </c>
      <c r="P246">
        <v>0.15029999999999999</v>
      </c>
      <c r="Q246" s="10"/>
      <c r="R246" s="11">
        <f>ROUND(Таб[[#This Row],[Зелений Тариф ЕЦ]]+Таб[[#This Row],[Зелений Тариф ЕЦ]]*Таб[[#This Row],[% надбавки]],4)</f>
        <v>0.15029999999999999</v>
      </c>
      <c r="S246" s="12"/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0.23799999999999999</v>
      </c>
      <c r="AT246">
        <v>0.64400000000000002</v>
      </c>
      <c r="AU246">
        <v>0.88</v>
      </c>
      <c r="AV246">
        <v>0.89</v>
      </c>
      <c r="AW246">
        <v>0.90400000000000003</v>
      </c>
      <c r="AX246">
        <v>1.008</v>
      </c>
      <c r="AY246">
        <v>0.98699999999999999</v>
      </c>
      <c r="BD2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199.58102306711783</v>
      </c>
      <c r="BE2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344.1455764324495</v>
      </c>
      <c r="BF2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580.59933983161545</v>
      </c>
      <c r="BG2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825.24704552679214</v>
      </c>
      <c r="BH2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1016.0488447053269</v>
      </c>
      <c r="BI2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1053.5068666299474</v>
      </c>
      <c r="BJ2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1070.4800328145409</v>
      </c>
      <c r="BK2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925.33019785663714</v>
      </c>
      <c r="BL2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649.66256775513421</v>
      </c>
      <c r="BM2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417.30577550397356</v>
      </c>
      <c r="BN2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193.14292554882371</v>
      </c>
      <c r="BO2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163.29356432764183</v>
      </c>
      <c r="BP246">
        <f>SUM(Таб[[#This Row],[1]:[12]])</f>
        <v>7438.3437599999997</v>
      </c>
    </row>
    <row r="247" spans="2:68" ht="25.5">
      <c r="B247" t="s">
        <v>384</v>
      </c>
      <c r="C247" t="str">
        <f>IFERROR(VLOOKUP(Таб[[#This Row],[Зелений Тариф ЕЦ]],Sheet6!$H$9:$I$29,2,FALSE),"")</f>
        <v>Земля</v>
      </c>
      <c r="G247" s="1" t="s">
        <v>670</v>
      </c>
      <c r="H247" t="s">
        <v>136</v>
      </c>
      <c r="I247" t="s">
        <v>386</v>
      </c>
      <c r="J247" s="7">
        <v>0.252</v>
      </c>
      <c r="K247" s="8"/>
      <c r="L247" s="8">
        <v>43111</v>
      </c>
      <c r="M247">
        <v>1</v>
      </c>
      <c r="N247" s="49" t="s">
        <v>67</v>
      </c>
      <c r="O247">
        <v>2018</v>
      </c>
      <c r="P247">
        <v>0.15029999999999999</v>
      </c>
      <c r="Q247" s="10"/>
      <c r="R247" s="11">
        <f>ROUND(Таб[[#This Row],[Зелений Тариф ЕЦ]]+Таб[[#This Row],[Зелений Тариф ЕЦ]]*Таб[[#This Row],[% надбавки]],4)</f>
        <v>0.15029999999999999</v>
      </c>
      <c r="S247" s="12"/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2E-3</v>
      </c>
      <c r="AG247">
        <v>8.0000000000000002E-3</v>
      </c>
      <c r="AH247">
        <v>1.7000000000000001E-2</v>
      </c>
      <c r="AI247">
        <v>0.03</v>
      </c>
      <c r="AJ247">
        <v>4.2999999999999997E-2</v>
      </c>
      <c r="AK247">
        <v>3.2000000000000001E-2</v>
      </c>
      <c r="AL247">
        <v>3.5999999999999997E-2</v>
      </c>
      <c r="AM247">
        <v>4.2000000000000003E-2</v>
      </c>
      <c r="AN247">
        <v>2.4E-2</v>
      </c>
      <c r="AO247">
        <v>1.7000000000000001E-2</v>
      </c>
      <c r="AP247">
        <v>8.0000000000000002E-3</v>
      </c>
      <c r="AQ247">
        <v>1E-3</v>
      </c>
      <c r="AR247">
        <v>2E-3</v>
      </c>
      <c r="AS247">
        <v>1.2E-2</v>
      </c>
      <c r="AT247">
        <v>2.4E-2</v>
      </c>
      <c r="AU247">
        <v>3.2000000000000001E-2</v>
      </c>
      <c r="AV247">
        <v>3.4000000000000002E-2</v>
      </c>
      <c r="AW247">
        <v>2.8000000000000001E-2</v>
      </c>
      <c r="AX247">
        <v>3.9E-2</v>
      </c>
      <c r="AY247">
        <v>3.6999999999999998E-2</v>
      </c>
      <c r="BD2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8.1146204925643257</v>
      </c>
      <c r="BE2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13.99236612794083</v>
      </c>
      <c r="BF2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23.606168705641668</v>
      </c>
      <c r="BG2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33.553122857817293</v>
      </c>
      <c r="BH2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41.310795234872927</v>
      </c>
      <c r="BI2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42.833773861043355</v>
      </c>
      <c r="BJ2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43.523873551026824</v>
      </c>
      <c r="BK2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37.622331374616415</v>
      </c>
      <c r="BL2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26.414160547643405</v>
      </c>
      <c r="BM2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16.966933757179952</v>
      </c>
      <c r="BN2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7.8528585411912832</v>
      </c>
      <c r="BO2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6.6392349484617199</v>
      </c>
      <c r="BP247">
        <f>SUM(Таб[[#This Row],[1]:[12]])</f>
        <v>302.43023999999997</v>
      </c>
    </row>
    <row r="248" spans="2:68" ht="25.5">
      <c r="B248" t="s">
        <v>384</v>
      </c>
      <c r="C248" t="str">
        <f>IFERROR(VLOOKUP(Таб[[#This Row],[Зелений Тариф ЕЦ]],Sheet6!$H$9:$I$29,2,FALSE),"")</f>
        <v>Земля</v>
      </c>
      <c r="G248" s="1" t="s">
        <v>672</v>
      </c>
      <c r="H248" t="s">
        <v>85</v>
      </c>
      <c r="I248" t="s">
        <v>673</v>
      </c>
      <c r="J248" s="7">
        <v>0.03</v>
      </c>
      <c r="K248" s="8"/>
      <c r="L248" s="8">
        <v>40759</v>
      </c>
      <c r="M248">
        <v>8</v>
      </c>
      <c r="N248" s="49" t="s">
        <v>60</v>
      </c>
      <c r="O248">
        <v>2011</v>
      </c>
      <c r="P248">
        <v>0.46529999999999999</v>
      </c>
      <c r="Q248" s="10"/>
      <c r="R248" s="11">
        <f>ROUND(Таб[[#This Row],[Зелений Тариф ЕЦ]]+Таб[[#This Row],[Зелений Тариф ЕЦ]]*Таб[[#This Row],[% надбавки]],4)</f>
        <v>0.46529999999999999</v>
      </c>
      <c r="S248" s="12"/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BD2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0.96602624911480062</v>
      </c>
      <c r="BE2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1.6657578723739082</v>
      </c>
      <c r="BF2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2.8102581792430557</v>
      </c>
      <c r="BG2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3.9944193878353915</v>
      </c>
      <c r="BH2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4.9179518136753479</v>
      </c>
      <c r="BI2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5.0992587929813515</v>
      </c>
      <c r="BJ2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5.1814135179793848</v>
      </c>
      <c r="BK2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4.4788489731686205</v>
      </c>
      <c r="BL2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3.1445429223385002</v>
      </c>
      <c r="BM2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2.0198730663309465</v>
      </c>
      <c r="BN2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0.93486411204658126</v>
      </c>
      <c r="BO2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0.79038511291210956</v>
      </c>
      <c r="BP248">
        <f>SUM(Таб[[#This Row],[1]:[12]])</f>
        <v>36.003599999999999</v>
      </c>
    </row>
    <row r="249" spans="2:68" ht="38.25">
      <c r="B249" t="s">
        <v>384</v>
      </c>
      <c r="C249" t="str">
        <f>IFERROR(VLOOKUP(Таб[[#This Row],[Зелений Тариф ЕЦ]],Sheet6!$H$9:$I$29,2,FALSE),"")</f>
        <v>Земля</v>
      </c>
      <c r="G249" s="1" t="s">
        <v>675</v>
      </c>
      <c r="H249" t="s">
        <v>101</v>
      </c>
      <c r="I249" t="s">
        <v>676</v>
      </c>
      <c r="J249" s="7">
        <v>4.03</v>
      </c>
      <c r="K249" s="8"/>
      <c r="L249" s="8">
        <v>42586</v>
      </c>
      <c r="M249">
        <v>8</v>
      </c>
      <c r="N249" s="49" t="s">
        <v>60</v>
      </c>
      <c r="O249">
        <v>2016</v>
      </c>
      <c r="P249">
        <v>0.1696</v>
      </c>
      <c r="Q249" s="10"/>
      <c r="R249" s="11">
        <f>ROUND(Таб[[#This Row],[Зелений Тариф ЕЦ]]+Таб[[#This Row],[Зелений Тариф ЕЦ]]*Таб[[#This Row],[% надбавки]],4)</f>
        <v>0.1696</v>
      </c>
      <c r="S249" s="12"/>
      <c r="T249">
        <v>0.22700000000000001</v>
      </c>
      <c r="U249">
        <v>0.24000000000000002</v>
      </c>
      <c r="V249">
        <v>0.44900000000000001</v>
      </c>
      <c r="W249">
        <v>0.56399999999999995</v>
      </c>
      <c r="X249">
        <v>0.67499999999999982</v>
      </c>
      <c r="Y249">
        <v>0.68000000000000016</v>
      </c>
      <c r="Z249">
        <v>0.65500000000000025</v>
      </c>
      <c r="AA249">
        <v>0.61599999999999966</v>
      </c>
      <c r="AB249">
        <v>0.52400000000000002</v>
      </c>
      <c r="AC249">
        <v>0.25699999999999967</v>
      </c>
      <c r="AD249">
        <v>0.12000000000000011</v>
      </c>
      <c r="AE249">
        <v>0.10800000000000054</v>
      </c>
      <c r="AF249">
        <v>0.17299999999999999</v>
      </c>
      <c r="AG249">
        <v>0.126</v>
      </c>
      <c r="AH249">
        <v>0.33200000000000002</v>
      </c>
      <c r="AI249">
        <v>0.62</v>
      </c>
      <c r="AJ249">
        <v>0.69199999999999995</v>
      </c>
      <c r="AK249">
        <v>0.63100000000000001</v>
      </c>
      <c r="AL249">
        <v>0.64600000000000002</v>
      </c>
      <c r="AM249">
        <v>0.68899999999999995</v>
      </c>
      <c r="AN249">
        <v>0.43099999999999999</v>
      </c>
      <c r="AO249">
        <v>0.45300000000000001</v>
      </c>
      <c r="AP249">
        <v>0.14199999999999999</v>
      </c>
      <c r="AQ249">
        <v>4.2999999999999997E-2</v>
      </c>
      <c r="AR249">
        <v>0.10100000000000001</v>
      </c>
      <c r="AS249">
        <v>0.17799999999999999</v>
      </c>
      <c r="AT249">
        <v>0.47899999999999998</v>
      </c>
      <c r="AU249">
        <v>0.53800000000000003</v>
      </c>
      <c r="AV249">
        <v>0.58299999999999996</v>
      </c>
      <c r="AW249">
        <v>0.65500000000000003</v>
      </c>
      <c r="AX249">
        <v>0.64600000000000002</v>
      </c>
      <c r="AY249">
        <v>0.64100000000000001</v>
      </c>
      <c r="BD2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129.76952613108821</v>
      </c>
      <c r="BE2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223.76680752222836</v>
      </c>
      <c r="BF2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377.51134874498388</v>
      </c>
      <c r="BG2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536.58367109922108</v>
      </c>
      <c r="BH2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660.64486030372177</v>
      </c>
      <c r="BI2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685.00043119049496</v>
      </c>
      <c r="BJ2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696.03654924856403</v>
      </c>
      <c r="BK2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601.65871206231805</v>
      </c>
      <c r="BL2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422.41693256747192</v>
      </c>
      <c r="BM2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271.33628191045716</v>
      </c>
      <c r="BN2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125.58341238492409</v>
      </c>
      <c r="BO2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106.17506683452673</v>
      </c>
      <c r="BP249">
        <f>SUM(Таб[[#This Row],[1]:[12]])</f>
        <v>4836.4835999999996</v>
      </c>
    </row>
    <row r="250" spans="2:68" ht="25.5">
      <c r="B250" t="s">
        <v>384</v>
      </c>
      <c r="C250" t="str">
        <f>IFERROR(VLOOKUP(Таб[[#This Row],[Зелений Тариф ЕЦ]],Sheet6!$H$9:$I$29,2,FALSE),"")</f>
        <v>Земля</v>
      </c>
      <c r="G250" s="1" t="s">
        <v>678</v>
      </c>
      <c r="H250" t="s">
        <v>122</v>
      </c>
      <c r="I250" t="s">
        <v>648</v>
      </c>
      <c r="J250" s="7">
        <v>3.2789999999999999</v>
      </c>
      <c r="K250" s="8"/>
      <c r="L250" s="8">
        <v>43340</v>
      </c>
      <c r="M250">
        <v>8</v>
      </c>
      <c r="N250" s="49" t="s">
        <v>60</v>
      </c>
      <c r="O250">
        <v>2018</v>
      </c>
      <c r="P250">
        <v>0.15029999999999999</v>
      </c>
      <c r="Q250" s="10"/>
      <c r="R250" s="11">
        <f>ROUND(Таб[[#This Row],[Зелений Тариф ЕЦ]]+Таб[[#This Row],[Зелений Тариф ЕЦ]]*Таб[[#This Row],[% надбавки]],4)</f>
        <v>0.15029999999999999</v>
      </c>
      <c r="S250" s="12"/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0.49199999999999999</v>
      </c>
      <c r="AW250">
        <v>0.54600000000000004</v>
      </c>
      <c r="AX250">
        <v>0.78800000000000003</v>
      </c>
      <c r="AY250">
        <v>0.875</v>
      </c>
      <c r="BD2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105.58666902824771</v>
      </c>
      <c r="BE2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182.06733545046819</v>
      </c>
      <c r="BF2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307.16121899126597</v>
      </c>
      <c r="BG2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436.59003909040831</v>
      </c>
      <c r="BH2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537.5321332347155</v>
      </c>
      <c r="BI2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557.34898607286175</v>
      </c>
      <c r="BJ2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566.32849751514686</v>
      </c>
      <c r="BK2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489.53819276733032</v>
      </c>
      <c r="BL2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343.69854141159811</v>
      </c>
      <c r="BM2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220.77212614997242</v>
      </c>
      <c r="BN2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102.18064744669134</v>
      </c>
      <c r="BO2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86.389092841293575</v>
      </c>
      <c r="BP250">
        <f>SUM(Таб[[#This Row],[1]:[12]])</f>
        <v>3935.1934799999995</v>
      </c>
    </row>
    <row r="251" spans="2:68" ht="25.5">
      <c r="B251" t="s">
        <v>384</v>
      </c>
      <c r="C251" t="str">
        <f>IFERROR(VLOOKUP(Таб[[#This Row],[Зелений Тариф ЕЦ]],Sheet6!$H$9:$I$29,2,FALSE),"")</f>
        <v>Земля</v>
      </c>
      <c r="G251" s="1" t="s">
        <v>678</v>
      </c>
      <c r="H251" t="s">
        <v>122</v>
      </c>
      <c r="I251" t="s">
        <v>648</v>
      </c>
      <c r="J251" s="7">
        <v>2.21</v>
      </c>
      <c r="K251" s="8"/>
      <c r="L251" s="8">
        <v>43627</v>
      </c>
      <c r="M251">
        <v>6</v>
      </c>
      <c r="N251" s="49" t="s">
        <v>57</v>
      </c>
      <c r="O251">
        <v>2019</v>
      </c>
      <c r="P251">
        <v>0.15029999999999999</v>
      </c>
      <c r="Q251" s="10"/>
      <c r="R251" s="11">
        <f>ROUND(Таб[[#This Row],[Зелений Тариф ЕЦ]]+Таб[[#This Row],[Зелений Тариф ЕЦ]]*Таб[[#This Row],[% надбавки]],4)</f>
        <v>0.15029999999999999</v>
      </c>
      <c r="S251" s="12"/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BD2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71.163933684790322</v>
      </c>
      <c r="BE2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122.71082993154457</v>
      </c>
      <c r="BF2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207.02235253757181</v>
      </c>
      <c r="BG2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294.25556157054052</v>
      </c>
      <c r="BH2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362.28911694075066</v>
      </c>
      <c r="BI2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375.64539774962634</v>
      </c>
      <c r="BJ2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381.69746249114803</v>
      </c>
      <c r="BK2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329.94187435675508</v>
      </c>
      <c r="BL2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231.64799527893621</v>
      </c>
      <c r="BM2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148.79731588637972</v>
      </c>
      <c r="BN2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68.868322920764811</v>
      </c>
      <c r="BO2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58.22503665119207</v>
      </c>
      <c r="BP251">
        <f>SUM(Таб[[#This Row],[1]:[12]])</f>
        <v>2652.2652000000003</v>
      </c>
    </row>
    <row r="252" spans="2:68" ht="51">
      <c r="B252" t="s">
        <v>384</v>
      </c>
      <c r="C252" t="str">
        <f>IFERROR(VLOOKUP(Таб[[#This Row],[Зелений Тариф ЕЦ]],Sheet6!$H$9:$I$29,2,FALSE),"")</f>
        <v>Земля</v>
      </c>
      <c r="D252" t="s">
        <v>3451</v>
      </c>
      <c r="F252" t="s">
        <v>3287</v>
      </c>
      <c r="G252" s="1" t="s">
        <v>682</v>
      </c>
      <c r="H252" t="s">
        <v>122</v>
      </c>
      <c r="I252" t="s">
        <v>648</v>
      </c>
      <c r="J252" s="7">
        <v>2.4700000000000002</v>
      </c>
      <c r="K252" s="8"/>
      <c r="L252" s="8">
        <v>42787</v>
      </c>
      <c r="M252">
        <v>2</v>
      </c>
      <c r="N252" s="49" t="s">
        <v>67</v>
      </c>
      <c r="O252">
        <v>2017</v>
      </c>
      <c r="P252">
        <v>0.15989999999999999</v>
      </c>
      <c r="Q252" s="10"/>
      <c r="R252" s="11">
        <f>ROUND(Таб[[#This Row],[Зелений Тариф ЕЦ]]+Таб[[#This Row],[Зелений Тариф ЕЦ]]*Таб[[#This Row],[% надбавки]],4)</f>
        <v>0.15989999999999999</v>
      </c>
      <c r="S252" s="12"/>
      <c r="T252">
        <v>0</v>
      </c>
      <c r="U252">
        <v>0</v>
      </c>
      <c r="V252">
        <v>0</v>
      </c>
      <c r="W252">
        <v>0</v>
      </c>
      <c r="X252">
        <v>0</v>
      </c>
      <c r="Y252">
        <v>0.35599999999999998</v>
      </c>
      <c r="Z252">
        <v>0.38300000000000001</v>
      </c>
      <c r="AA252">
        <v>0.36399999999999999</v>
      </c>
      <c r="AB252">
        <v>0.33899999999999997</v>
      </c>
      <c r="AC252">
        <v>0.13900000000000001</v>
      </c>
      <c r="AD252">
        <v>6.800000000000006E-2</v>
      </c>
      <c r="AE252">
        <v>3.8999999999999924E-2</v>
      </c>
      <c r="AF252">
        <v>4.1000000000000002E-2</v>
      </c>
      <c r="AG252">
        <v>0.106</v>
      </c>
      <c r="AH252">
        <v>0.216</v>
      </c>
      <c r="AI252">
        <v>0.38100000000000001</v>
      </c>
      <c r="AJ252">
        <v>0.42299999999999999</v>
      </c>
      <c r="AK252">
        <v>0.40500000000000003</v>
      </c>
      <c r="AL252">
        <v>0.374</v>
      </c>
      <c r="AM252">
        <v>0.43099999999999999</v>
      </c>
      <c r="AN252">
        <v>0.255</v>
      </c>
      <c r="AO252">
        <v>0.26300000000000001</v>
      </c>
      <c r="AP252">
        <v>0.10199999999999999</v>
      </c>
      <c r="AQ252">
        <v>2.1999999999999999E-2</v>
      </c>
      <c r="AR252">
        <v>4.9000000000000002E-2</v>
      </c>
      <c r="AS252">
        <v>0.109</v>
      </c>
      <c r="AT252">
        <v>0.26500000000000001</v>
      </c>
      <c r="AU252">
        <v>0.35699999999999998</v>
      </c>
      <c r="AV252">
        <v>0.36599999999999999</v>
      </c>
      <c r="AW252">
        <v>0.42</v>
      </c>
      <c r="AX252">
        <v>0.42699999999999999</v>
      </c>
      <c r="AY252">
        <v>0.375</v>
      </c>
      <c r="BD2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79.536161177118601</v>
      </c>
      <c r="BE2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137.14739815878511</v>
      </c>
      <c r="BF2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231.37792342434497</v>
      </c>
      <c r="BG2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328.87386293178065</v>
      </c>
      <c r="BH2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404.91136599260363</v>
      </c>
      <c r="BI2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419.83897395546467</v>
      </c>
      <c r="BJ2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426.60304631363601</v>
      </c>
      <c r="BK2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368.75856545754982</v>
      </c>
      <c r="BL2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258.90070060586987</v>
      </c>
      <c r="BM2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166.30288246124795</v>
      </c>
      <c r="BN2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76.970478558501867</v>
      </c>
      <c r="BO2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65.075040963097024</v>
      </c>
      <c r="BP252">
        <f>SUM(Таб[[#This Row],[1]:[12]])</f>
        <v>2964.2964000000002</v>
      </c>
    </row>
    <row r="253" spans="2:68" ht="51">
      <c r="B253" t="s">
        <v>384</v>
      </c>
      <c r="C253" t="str">
        <f>IFERROR(VLOOKUP(Таб[[#This Row],[Зелений Тариф ЕЦ]],Sheet6!$H$9:$I$29,2,FALSE),"")</f>
        <v>Земля</v>
      </c>
      <c r="D253" t="s">
        <v>3451</v>
      </c>
      <c r="F253" t="s">
        <v>3287</v>
      </c>
      <c r="G253" s="1" t="s">
        <v>682</v>
      </c>
      <c r="H253" t="s">
        <v>122</v>
      </c>
      <c r="I253" t="s">
        <v>648</v>
      </c>
      <c r="J253" s="7">
        <v>1.3</v>
      </c>
      <c r="K253" s="8"/>
      <c r="L253" s="8">
        <v>43182</v>
      </c>
      <c r="M253">
        <v>3</v>
      </c>
      <c r="N253" s="49" t="s">
        <v>67</v>
      </c>
      <c r="O253">
        <v>2018</v>
      </c>
      <c r="P253">
        <v>0.15029999999999999</v>
      </c>
      <c r="Q253" s="10"/>
      <c r="R253" s="11">
        <f>ROUND(Таб[[#This Row],[Зелений Тариф ЕЦ]]+Таб[[#This Row],[Зелений Тариф ЕЦ]]*Таб[[#This Row],[% надбавки]],4)</f>
        <v>0.15029999999999999</v>
      </c>
      <c r="S253" s="12"/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0.14899999999999999</v>
      </c>
      <c r="AK253">
        <v>0.215</v>
      </c>
      <c r="AL253">
        <v>0.19700000000000001</v>
      </c>
      <c r="AM253">
        <v>0.22</v>
      </c>
      <c r="AN253">
        <v>0.13100000000000001</v>
      </c>
      <c r="AO253">
        <v>0.13300000000000001</v>
      </c>
      <c r="AP253">
        <v>5.1999999999999998E-2</v>
      </c>
      <c r="AQ253">
        <v>1.2E-2</v>
      </c>
      <c r="AR253">
        <v>2.5000000000000001E-2</v>
      </c>
      <c r="AS253">
        <v>5.6000000000000001E-2</v>
      </c>
      <c r="AT253">
        <v>0.13400000000000001</v>
      </c>
      <c r="AU253">
        <v>0.182</v>
      </c>
      <c r="AV253">
        <v>0.188</v>
      </c>
      <c r="AW253">
        <v>0.21299999999999999</v>
      </c>
      <c r="AX253">
        <v>0.215</v>
      </c>
      <c r="AY253">
        <v>0.193</v>
      </c>
      <c r="BD2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41.861137461641363</v>
      </c>
      <c r="BE2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72.182841136202697</v>
      </c>
      <c r="BF2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121.77785443386577</v>
      </c>
      <c r="BG2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173.09150680620033</v>
      </c>
      <c r="BH2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213.11124525926508</v>
      </c>
      <c r="BI2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220.96788102919191</v>
      </c>
      <c r="BJ2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224.52791911243997</v>
      </c>
      <c r="BK2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194.08345550397357</v>
      </c>
      <c r="BL2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136.26352663466835</v>
      </c>
      <c r="BM2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87.527832874341016</v>
      </c>
      <c r="BN2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40.510778188685194</v>
      </c>
      <c r="BO2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34.250021559524754</v>
      </c>
      <c r="BP253">
        <f>SUM(Таб[[#This Row],[1]:[12]])</f>
        <v>1560.1559999999999</v>
      </c>
    </row>
    <row r="254" spans="2:68" ht="51">
      <c r="B254" t="s">
        <v>384</v>
      </c>
      <c r="C254" t="str">
        <f>IFERROR(VLOOKUP(Таб[[#This Row],[Зелений Тариф ЕЦ]],Sheet6!$H$9:$I$29,2,FALSE),"")</f>
        <v>Земля</v>
      </c>
      <c r="D254" t="s">
        <v>3451</v>
      </c>
      <c r="F254" t="s">
        <v>3287</v>
      </c>
      <c r="G254" s="1" t="s">
        <v>682</v>
      </c>
      <c r="H254" t="s">
        <v>122</v>
      </c>
      <c r="I254" t="s">
        <v>648</v>
      </c>
      <c r="J254" s="7">
        <v>3.2080000000000002</v>
      </c>
      <c r="K254" s="8"/>
      <c r="L254" s="8">
        <v>43371</v>
      </c>
      <c r="M254">
        <v>9</v>
      </c>
      <c r="N254" s="49" t="s">
        <v>60</v>
      </c>
      <c r="O254">
        <v>2018</v>
      </c>
      <c r="P254">
        <v>0.15029999999999999</v>
      </c>
      <c r="Q254" s="10"/>
      <c r="R254" s="11">
        <f>ROUND(Таб[[#This Row],[Зелений Тариф ЕЦ]]+Таб[[#This Row],[Зелений Тариф ЕЦ]]*Таб[[#This Row],[% надбавки]],4)</f>
        <v>0.15029999999999999</v>
      </c>
      <c r="S254" s="12"/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BD2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103.3004069053427</v>
      </c>
      <c r="BE2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178.12504181918328</v>
      </c>
      <c r="BF2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300.51027463372418</v>
      </c>
      <c r="BG2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427.13657987253129</v>
      </c>
      <c r="BH2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525.89298060901717</v>
      </c>
      <c r="BI2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545.28074026280592</v>
      </c>
      <c r="BJ2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554.06581885592891</v>
      </c>
      <c r="BK2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478.93825019749784</v>
      </c>
      <c r="BL2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336.256456495397</v>
      </c>
      <c r="BM2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215.99175989298919</v>
      </c>
      <c r="BN2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99.968135714847776</v>
      </c>
      <c r="BO2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84.518514740734929</v>
      </c>
      <c r="BP254">
        <f>SUM(Таб[[#This Row],[1]:[12]])</f>
        <v>3849.9849600000007</v>
      </c>
    </row>
    <row r="255" spans="2:68" ht="51">
      <c r="B255" t="s">
        <v>384</v>
      </c>
      <c r="C255" t="str">
        <f>IFERROR(VLOOKUP(Таб[[#This Row],[Зелений Тариф ЕЦ]],Sheet6!$H$9:$I$29,2,FALSE),"")</f>
        <v>Земля</v>
      </c>
      <c r="D255" t="s">
        <v>3451</v>
      </c>
      <c r="F255" t="s">
        <v>3287</v>
      </c>
      <c r="G255" s="1" t="s">
        <v>682</v>
      </c>
      <c r="H255" t="s">
        <v>122</v>
      </c>
      <c r="I255" t="s">
        <v>648</v>
      </c>
      <c r="J255" s="7">
        <v>2.0249999999999999</v>
      </c>
      <c r="K255" s="8"/>
      <c r="L255" s="8">
        <v>43697</v>
      </c>
      <c r="M255">
        <v>8</v>
      </c>
      <c r="N255" s="49" t="s">
        <v>60</v>
      </c>
      <c r="O255">
        <v>2019</v>
      </c>
      <c r="P255">
        <v>0.15029999999999999</v>
      </c>
      <c r="Q255" s="10"/>
      <c r="R255" s="11">
        <f>ROUND(Таб[[#This Row],[Зелений Тариф ЕЦ]]+Таб[[#This Row],[Зелений Тариф ЕЦ]]*Таб[[#This Row],[% надбавки]],4)</f>
        <v>0.15029999999999999</v>
      </c>
      <c r="S255" s="12"/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BD2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65.206771815249027</v>
      </c>
      <c r="BE2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112.4386563852388</v>
      </c>
      <c r="BF2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189.69242709890628</v>
      </c>
      <c r="BG2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269.62330867888898</v>
      </c>
      <c r="BH2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331.96174742308597</v>
      </c>
      <c r="BI2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344.19996852624126</v>
      </c>
      <c r="BJ2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349.74541246360843</v>
      </c>
      <c r="BK2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302.3223056888819</v>
      </c>
      <c r="BL2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212.25664725784875</v>
      </c>
      <c r="BM2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136.34143197733889</v>
      </c>
      <c r="BN2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63.103327563144234</v>
      </c>
      <c r="BO2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53.350995121567394</v>
      </c>
      <c r="BP255">
        <f>SUM(Таб[[#This Row],[1]:[12]])</f>
        <v>2430.2429999999999</v>
      </c>
    </row>
    <row r="256" spans="2:68" ht="38.25">
      <c r="B256" t="s">
        <v>384</v>
      </c>
      <c r="C256" t="str">
        <f>IFERROR(VLOOKUP(Таб[[#This Row],[Зелений Тариф ЕЦ]],Sheet6!$H$9:$I$29,2,FALSE),"")</f>
        <v>Земля</v>
      </c>
      <c r="G256" s="1" t="s">
        <v>691</v>
      </c>
      <c r="H256" t="s">
        <v>198</v>
      </c>
      <c r="I256" t="s">
        <v>516</v>
      </c>
      <c r="J256" s="7">
        <v>1</v>
      </c>
      <c r="K256" s="8"/>
      <c r="L256" s="8">
        <v>41270</v>
      </c>
      <c r="M256">
        <v>12</v>
      </c>
      <c r="N256" s="49" t="s">
        <v>71</v>
      </c>
      <c r="O256">
        <v>2012</v>
      </c>
      <c r="P256">
        <v>0.46529999999999999</v>
      </c>
      <c r="Q256" s="10"/>
      <c r="R256" s="11">
        <f>ROUND(Таб[[#This Row],[Зелений Тариф ЕЦ]]+Таб[[#This Row],[Зелений Тариф ЕЦ]]*Таб[[#This Row],[% надбавки]],4)</f>
        <v>0.46529999999999999</v>
      </c>
      <c r="S256" s="12"/>
      <c r="T256">
        <v>3.7999999999999999E-2</v>
      </c>
      <c r="U256">
        <v>5.2999999999999999E-2</v>
      </c>
      <c r="V256">
        <v>0.10800000000000001</v>
      </c>
      <c r="W256">
        <v>0.14400000000000002</v>
      </c>
      <c r="X256">
        <v>0.15899999999999997</v>
      </c>
      <c r="Y256">
        <v>0.17000000000000004</v>
      </c>
      <c r="Z256">
        <v>0.15699999999999992</v>
      </c>
      <c r="AA256">
        <v>0.15700000000000003</v>
      </c>
      <c r="AB256">
        <v>0.1160000000000001</v>
      </c>
      <c r="AC256">
        <v>6.999999999999984E-2</v>
      </c>
      <c r="AD256">
        <v>2.6000000000000023E-2</v>
      </c>
      <c r="AE256">
        <v>1.8000000000000016E-2</v>
      </c>
      <c r="AF256">
        <v>3.7999999999999999E-2</v>
      </c>
      <c r="AG256">
        <v>4.5999999999999999E-2</v>
      </c>
      <c r="AH256">
        <v>9.0999999999999998E-2</v>
      </c>
      <c r="AI256">
        <v>0.16400000000000001</v>
      </c>
      <c r="AJ256">
        <v>0.17100000000000001</v>
      </c>
      <c r="AK256">
        <v>0.14199999999999999</v>
      </c>
      <c r="AL256">
        <v>0.15</v>
      </c>
      <c r="AM256">
        <v>0.16700000000000001</v>
      </c>
      <c r="AN256">
        <v>0.11600000000000001</v>
      </c>
      <c r="AO256">
        <v>0.109</v>
      </c>
      <c r="AP256">
        <v>2.5999999999999999E-2</v>
      </c>
      <c r="AQ256">
        <v>1.2999999999999999E-2</v>
      </c>
      <c r="AR256">
        <v>1.4999999999999999E-2</v>
      </c>
      <c r="AS256">
        <v>4.7E-2</v>
      </c>
      <c r="AT256">
        <v>0.105</v>
      </c>
      <c r="AU256">
        <v>0.13400000000000001</v>
      </c>
      <c r="AV256">
        <v>0.127</v>
      </c>
      <c r="AW256">
        <v>0.14899999999999999</v>
      </c>
      <c r="AX256">
        <v>0.154</v>
      </c>
      <c r="AY256">
        <v>0.157</v>
      </c>
      <c r="BD2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32.200874970493359</v>
      </c>
      <c r="BE2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55.525262412463604</v>
      </c>
      <c r="BF2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93.6752726414352</v>
      </c>
      <c r="BG2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133.14731292784643</v>
      </c>
      <c r="BH2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163.9317271225116</v>
      </c>
      <c r="BI2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169.9752930993784</v>
      </c>
      <c r="BJ2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172.71378393264615</v>
      </c>
      <c r="BK2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149.29496577228736</v>
      </c>
      <c r="BL2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104.81809741128336</v>
      </c>
      <c r="BM2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67.32910221103154</v>
      </c>
      <c r="BN2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31.162137068219373</v>
      </c>
      <c r="BO2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26.346170430403653</v>
      </c>
      <c r="BP256">
        <f>SUM(Таб[[#This Row],[1]:[12]])</f>
        <v>1200.1200000000001</v>
      </c>
    </row>
    <row r="257" spans="2:68" ht="51">
      <c r="B257" t="s">
        <v>384</v>
      </c>
      <c r="C257" t="str">
        <f>IFERROR(VLOOKUP(Таб[[#This Row],[Зелений Тариф ЕЦ]],Sheet6!$H$9:$I$29,2,FALSE),"")</f>
        <v>Земля</v>
      </c>
      <c r="D257" s="138"/>
      <c r="E257" s="138"/>
      <c r="F257" s="138" t="s">
        <v>3287</v>
      </c>
      <c r="G257" s="1" t="s">
        <v>693</v>
      </c>
      <c r="H257" t="s">
        <v>233</v>
      </c>
      <c r="I257" t="s">
        <v>289</v>
      </c>
      <c r="J257" s="7">
        <v>1.4850000000000001</v>
      </c>
      <c r="K257" s="8"/>
      <c r="L257" s="8">
        <v>43111</v>
      </c>
      <c r="M257">
        <v>1</v>
      </c>
      <c r="N257" s="49" t="s">
        <v>67</v>
      </c>
      <c r="O257">
        <v>2018</v>
      </c>
      <c r="P257">
        <v>0.15029999999999999</v>
      </c>
      <c r="Q257" s="10"/>
      <c r="R257" s="11">
        <f>ROUND(Таб[[#This Row],[Зелений Тариф ЕЦ]]+Таб[[#This Row],[Зелений Тариф ЕЦ]]*Таб[[#This Row],[% надбавки]],4)</f>
        <v>0.15029999999999999</v>
      </c>
      <c r="S257" s="12"/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9.2999999999999999E-2</v>
      </c>
      <c r="AI257">
        <v>0.19900000000000001</v>
      </c>
      <c r="AJ257">
        <v>0.24299999999999999</v>
      </c>
      <c r="AK257">
        <v>0.216</v>
      </c>
      <c r="AL257">
        <v>0.82499999999999996</v>
      </c>
      <c r="AM257">
        <v>0.81499999999999995</v>
      </c>
      <c r="AN257">
        <v>0.83699999999999997</v>
      </c>
      <c r="AO257">
        <v>0.69099999999999995</v>
      </c>
      <c r="AP257">
        <v>0.377</v>
      </c>
      <c r="AQ257">
        <v>9.5000000000000001E-2</v>
      </c>
      <c r="AR257">
        <v>0.17199999999999999</v>
      </c>
      <c r="AS257">
        <v>0.55700000000000005</v>
      </c>
      <c r="AT257">
        <v>1.294</v>
      </c>
      <c r="AU257">
        <v>1.4370000000000001</v>
      </c>
      <c r="AV257">
        <v>3.36</v>
      </c>
      <c r="AW257">
        <v>4.4870000000000001</v>
      </c>
      <c r="AX257">
        <v>4.133</v>
      </c>
      <c r="AY257">
        <v>4.2430000000000003</v>
      </c>
      <c r="BD2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47.818299331182637</v>
      </c>
      <c r="BE2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82.455014682508462</v>
      </c>
      <c r="BF2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139.10777987253127</v>
      </c>
      <c r="BG2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197.72375969785196</v>
      </c>
      <c r="BH2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243.43861477692974</v>
      </c>
      <c r="BI2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252.41331025257693</v>
      </c>
      <c r="BJ2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256.47996913997957</v>
      </c>
      <c r="BK2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221.70302417184678</v>
      </c>
      <c r="BL2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155.6548746557558</v>
      </c>
      <c r="BM2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99.983716783381851</v>
      </c>
      <c r="BN2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46.275773546305778</v>
      </c>
      <c r="BO2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39.124063089149423</v>
      </c>
      <c r="BP257">
        <f>SUM(Таб[[#This Row],[1]:[12]])</f>
        <v>1782.1782000000001</v>
      </c>
    </row>
    <row r="258" spans="2:68" ht="51">
      <c r="B258" t="s">
        <v>384</v>
      </c>
      <c r="C258" t="str">
        <f>IFERROR(VLOOKUP(Таб[[#This Row],[Зелений Тариф ЕЦ]],Sheet6!$H$9:$I$29,2,FALSE),"")</f>
        <v>Земля</v>
      </c>
      <c r="D258" s="138"/>
      <c r="E258" s="138"/>
      <c r="F258" s="138" t="s">
        <v>3287</v>
      </c>
      <c r="G258" s="1" t="s">
        <v>693</v>
      </c>
      <c r="H258" t="s">
        <v>233</v>
      </c>
      <c r="I258" t="s">
        <v>289</v>
      </c>
      <c r="J258" s="7">
        <v>5.907</v>
      </c>
      <c r="K258" s="8"/>
      <c r="L258" s="8">
        <v>43277</v>
      </c>
      <c r="M258">
        <v>6</v>
      </c>
      <c r="N258" s="49" t="s">
        <v>57</v>
      </c>
      <c r="O258">
        <v>2018</v>
      </c>
      <c r="P258">
        <v>0.15029999999999999</v>
      </c>
      <c r="Q258" s="10"/>
      <c r="R258" s="11">
        <f>ROUND(Таб[[#This Row],[Зелений Тариф ЕЦ]]+Таб[[#This Row],[Зелений Тариф ЕЦ]]*Таб[[#This Row],[% надбавки]],4)</f>
        <v>0.15029999999999999</v>
      </c>
      <c r="S258" s="12"/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BD2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190.21056845070427</v>
      </c>
      <c r="BE2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327.98772507042253</v>
      </c>
      <c r="BF2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553.33983549295772</v>
      </c>
      <c r="BG2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786.50117746478873</v>
      </c>
      <c r="BH2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968.34471211267612</v>
      </c>
      <c r="BI2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1004.0440563380283</v>
      </c>
      <c r="BJ2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1020.220321690141</v>
      </c>
      <c r="BK2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881.88536281690131</v>
      </c>
      <c r="BL2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619.16050140845084</v>
      </c>
      <c r="BM2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397.71300676056342</v>
      </c>
      <c r="BN2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184.07474366197187</v>
      </c>
      <c r="BO2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155.62682873239439</v>
      </c>
      <c r="BP258">
        <f>SUM(Таб[[#This Row],[1]:[12]])</f>
        <v>7089.1088399999999</v>
      </c>
    </row>
    <row r="259" spans="2:68" ht="51">
      <c r="B259" t="s">
        <v>384</v>
      </c>
      <c r="C259" t="str">
        <f>IFERROR(VLOOKUP(Таб[[#This Row],[Зелений Тариф ЕЦ]],Sheet6!$H$9:$I$29,2,FALSE),"")</f>
        <v>Земля</v>
      </c>
      <c r="D259" s="138"/>
      <c r="E259" s="138"/>
      <c r="F259" s="138" t="s">
        <v>3287</v>
      </c>
      <c r="G259" s="1" t="s">
        <v>693</v>
      </c>
      <c r="H259" t="s">
        <v>233</v>
      </c>
      <c r="I259" t="s">
        <v>289</v>
      </c>
      <c r="J259" s="7">
        <v>3.3260000000000001</v>
      </c>
      <c r="K259" s="8"/>
      <c r="L259" s="8">
        <v>43508</v>
      </c>
      <c r="M259">
        <v>2</v>
      </c>
      <c r="N259" s="49" t="s">
        <v>67</v>
      </c>
      <c r="O259">
        <v>2019</v>
      </c>
      <c r="P259">
        <v>0.15029999999999999</v>
      </c>
      <c r="Q259" s="10"/>
      <c r="R259" s="11">
        <f>ROUND(Таб[[#This Row],[Зелений Тариф ЕЦ]]+Таб[[#This Row],[Зелений Тариф ЕЦ]]*Таб[[#This Row],[% надбавки]],4)</f>
        <v>0.15029999999999999</v>
      </c>
      <c r="S259" s="12"/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BD2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107.10011015186092</v>
      </c>
      <c r="BE2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184.677022783854</v>
      </c>
      <c r="BF2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311.56395680541345</v>
      </c>
      <c r="BG2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442.84796279801708</v>
      </c>
      <c r="BH2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545.23692440947366</v>
      </c>
      <c r="BI2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565.33782484853259</v>
      </c>
      <c r="BJ2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574.4460453599811</v>
      </c>
      <c r="BK2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496.55505615862774</v>
      </c>
      <c r="BL2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348.62499198992845</v>
      </c>
      <c r="BM2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223.93659395389093</v>
      </c>
      <c r="BN2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103.64526788889765</v>
      </c>
      <c r="BO2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87.627362851522548</v>
      </c>
      <c r="BP259">
        <f>SUM(Таб[[#This Row],[1]:[12]])</f>
        <v>3991.5991199999999</v>
      </c>
    </row>
    <row r="260" spans="2:68" ht="51">
      <c r="B260" t="s">
        <v>384</v>
      </c>
      <c r="C260" t="str">
        <f>IFERROR(VLOOKUP(Таб[[#This Row],[Зелений Тариф ЕЦ]],Sheet6!$H$9:$I$29,2,FALSE),"")</f>
        <v>Земля</v>
      </c>
      <c r="D260" s="138"/>
      <c r="E260" s="138"/>
      <c r="F260" s="138" t="s">
        <v>3287</v>
      </c>
      <c r="G260" s="1" t="s">
        <v>693</v>
      </c>
      <c r="H260" t="s">
        <v>198</v>
      </c>
      <c r="I260" t="s">
        <v>696</v>
      </c>
      <c r="J260" s="7">
        <v>16.863</v>
      </c>
      <c r="K260" s="8"/>
      <c r="L260" s="8">
        <v>43564</v>
      </c>
      <c r="M260">
        <v>4</v>
      </c>
      <c r="N260" s="49" t="s">
        <v>57</v>
      </c>
      <c r="O260">
        <v>2019</v>
      </c>
      <c r="P260">
        <v>0.15029999999999999</v>
      </c>
      <c r="Q260" s="10"/>
      <c r="R260" s="11">
        <f>ROUND(Таб[[#This Row],[Зелений Тариф ЕЦ]]+Таб[[#This Row],[Зелений Тариф ЕЦ]]*Таб[[#This Row],[% надбавки]],4)</f>
        <v>0.15029999999999999</v>
      </c>
      <c r="S260" s="12"/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BD2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543.00335462742942</v>
      </c>
      <c r="BE2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936.32250006137383</v>
      </c>
      <c r="BF2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1579.6461225525218</v>
      </c>
      <c r="BG2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2245.2631379022741</v>
      </c>
      <c r="BH2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2764.3807144669131</v>
      </c>
      <c r="BI2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2866.2933675348177</v>
      </c>
      <c r="BJ2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2912.4725384562121</v>
      </c>
      <c r="BK2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2517.5610078180816</v>
      </c>
      <c r="BL2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1767.547576646471</v>
      </c>
      <c r="BM2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1135.3706505846249</v>
      </c>
      <c r="BN2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525.48711738138331</v>
      </c>
      <c r="BO2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444.27547196789675</v>
      </c>
      <c r="BP260">
        <f>SUM(Таб[[#This Row],[1]:[12]])</f>
        <v>20237.62356</v>
      </c>
    </row>
    <row r="261" spans="2:68" ht="51">
      <c r="B261" t="s">
        <v>384</v>
      </c>
      <c r="C261" t="str">
        <f>IFERROR(VLOOKUP(Таб[[#This Row],[Зелений Тариф ЕЦ]],Sheet6!$H$9:$I$29,2,FALSE),"")</f>
        <v>Земля</v>
      </c>
      <c r="D261" s="138"/>
      <c r="E261" s="138"/>
      <c r="F261" s="138" t="s">
        <v>3287</v>
      </c>
      <c r="G261" s="1" t="s">
        <v>699</v>
      </c>
      <c r="H261" t="s">
        <v>172</v>
      </c>
      <c r="I261" t="s">
        <v>700</v>
      </c>
      <c r="J261" s="7">
        <v>4.8970000000000002</v>
      </c>
      <c r="K261" s="8"/>
      <c r="L261" s="8">
        <v>42780</v>
      </c>
      <c r="M261">
        <v>2</v>
      </c>
      <c r="N261" s="49" t="s">
        <v>67</v>
      </c>
      <c r="O261">
        <v>2017</v>
      </c>
      <c r="P261">
        <v>0.15989999999999999</v>
      </c>
      <c r="Q261" s="10"/>
      <c r="R261" s="11">
        <f>ROUND(Таб[[#This Row],[Зелений Тариф ЕЦ]]+Таб[[#This Row],[Зелений Тариф ЕЦ]]*Таб[[#This Row],[% надбавки]],4)</f>
        <v>0.15989999999999999</v>
      </c>
      <c r="S261" s="12"/>
      <c r="T261">
        <v>0</v>
      </c>
      <c r="U261">
        <v>0</v>
      </c>
      <c r="V261">
        <v>0</v>
      </c>
      <c r="W261">
        <v>0</v>
      </c>
      <c r="X261">
        <v>0.76100000000000001</v>
      </c>
      <c r="Y261">
        <v>0.81900000000000006</v>
      </c>
      <c r="Z261">
        <v>0.79899999999999993</v>
      </c>
      <c r="AA261">
        <v>0.73499999999999988</v>
      </c>
      <c r="AB261">
        <v>0.52899999999999991</v>
      </c>
      <c r="AC261">
        <v>0.34300000000000042</v>
      </c>
      <c r="AD261">
        <v>0.11199999999999966</v>
      </c>
      <c r="AE261">
        <v>7.6000000000000512E-2</v>
      </c>
      <c r="AF261">
        <v>0.13700000000000001</v>
      </c>
      <c r="AG261">
        <v>0.161</v>
      </c>
      <c r="AH261">
        <v>0.35699999999999998</v>
      </c>
      <c r="AI261">
        <v>0.746</v>
      </c>
      <c r="AJ261">
        <v>0.81899999999999995</v>
      </c>
      <c r="AK261">
        <v>0.69599999999999995</v>
      </c>
      <c r="AL261">
        <v>0.70499999999999996</v>
      </c>
      <c r="AM261">
        <v>0.78900000000000003</v>
      </c>
      <c r="AN261">
        <v>0.52</v>
      </c>
      <c r="AO261">
        <v>0.441</v>
      </c>
      <c r="AP261">
        <v>0.111</v>
      </c>
      <c r="AQ261">
        <v>4.4999999999999998E-2</v>
      </c>
      <c r="AR261">
        <v>3.5999999999999997E-2</v>
      </c>
      <c r="AS261">
        <v>0.253</v>
      </c>
      <c r="AT261">
        <v>0.46400000000000002</v>
      </c>
      <c r="AU261">
        <v>0.64500000000000002</v>
      </c>
      <c r="AV261">
        <v>0.64300000000000002</v>
      </c>
      <c r="AW261">
        <v>0.873</v>
      </c>
      <c r="AX261">
        <v>0.78</v>
      </c>
      <c r="AY261">
        <v>0.76700000000000002</v>
      </c>
      <c r="BD2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157.68768473050599</v>
      </c>
      <c r="BE2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271.9072100338343</v>
      </c>
      <c r="BF2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458.72781012510825</v>
      </c>
      <c r="BG2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652.02239140766392</v>
      </c>
      <c r="BH2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802.77366771893935</v>
      </c>
      <c r="BI2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832.36901030765603</v>
      </c>
      <c r="BJ2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845.77939991816834</v>
      </c>
      <c r="BK2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731.09744738689119</v>
      </c>
      <c r="BL2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513.29422302305454</v>
      </c>
      <c r="BM2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329.71061352742151</v>
      </c>
      <c r="BN2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152.6009852230703</v>
      </c>
      <c r="BO2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129.01719659768671</v>
      </c>
      <c r="BP261">
        <f>SUM(Таб[[#This Row],[1]:[12]])</f>
        <v>5876.9876400000003</v>
      </c>
    </row>
    <row r="262" spans="2:68" ht="51">
      <c r="B262" t="s">
        <v>384</v>
      </c>
      <c r="C262" t="str">
        <f>IFERROR(VLOOKUP(Таб[[#This Row],[Зелений Тариф ЕЦ]],Sheet6!$H$9:$I$29,2,FALSE),"")</f>
        <v>Земля</v>
      </c>
      <c r="D262" s="138"/>
      <c r="E262" s="138"/>
      <c r="F262" s="138" t="s">
        <v>3287</v>
      </c>
      <c r="G262" s="1" t="s">
        <v>699</v>
      </c>
      <c r="H262" t="s">
        <v>172</v>
      </c>
      <c r="I262" t="s">
        <v>700</v>
      </c>
      <c r="J262" s="7">
        <v>5.0030000000000001</v>
      </c>
      <c r="K262" s="8"/>
      <c r="L262" s="8">
        <v>43111</v>
      </c>
      <c r="M262">
        <v>1</v>
      </c>
      <c r="N262" s="49" t="s">
        <v>67</v>
      </c>
      <c r="O262">
        <v>2018</v>
      </c>
      <c r="P262">
        <v>0.15029999999999999</v>
      </c>
      <c r="Q262" s="10"/>
      <c r="R262" s="11">
        <f>ROUND(Таб[[#This Row],[Зелений Тариф ЕЦ]]+Таб[[#This Row],[Зелений Тариф ЕЦ]]*Таб[[#This Row],[% надбавки]],4)</f>
        <v>0.15029999999999999</v>
      </c>
      <c r="S262" s="12"/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0.157</v>
      </c>
      <c r="AG262">
        <v>0.185</v>
      </c>
      <c r="AH262">
        <v>0.42</v>
      </c>
      <c r="AI262">
        <v>0.78800000000000003</v>
      </c>
      <c r="AJ262">
        <v>0.85</v>
      </c>
      <c r="AK262">
        <v>0.71499999999999997</v>
      </c>
      <c r="AL262">
        <v>0.72599999999999998</v>
      </c>
      <c r="AM262">
        <v>0.81699999999999995</v>
      </c>
      <c r="AN262">
        <v>0.54800000000000004</v>
      </c>
      <c r="AO262">
        <v>0.47699999999999998</v>
      </c>
      <c r="AP262">
        <v>0.126</v>
      </c>
      <c r="AQ262">
        <v>5.0999999999999997E-2</v>
      </c>
      <c r="AR262">
        <v>6.2E-2</v>
      </c>
      <c r="AS262">
        <v>0.28699999999999998</v>
      </c>
      <c r="AT262">
        <v>0.49099999999999999</v>
      </c>
      <c r="AU262">
        <v>0.68100000000000005</v>
      </c>
      <c r="AV262">
        <v>0.66100000000000003</v>
      </c>
      <c r="AW262">
        <v>0.88900000000000001</v>
      </c>
      <c r="AX262">
        <v>0.79900000000000004</v>
      </c>
      <c r="AY262">
        <v>0.79300000000000004</v>
      </c>
      <c r="BD2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161.10097747737825</v>
      </c>
      <c r="BE2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277.79288784955548</v>
      </c>
      <c r="BF2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468.65738902510031</v>
      </c>
      <c r="BG2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666.13600657801567</v>
      </c>
      <c r="BH2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820.15043079392558</v>
      </c>
      <c r="BI2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850.38639137619009</v>
      </c>
      <c r="BJ2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864.08706101502867</v>
      </c>
      <c r="BK2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746.92271375875362</v>
      </c>
      <c r="BL2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524.40494134865071</v>
      </c>
      <c r="BM2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336.84749836179083</v>
      </c>
      <c r="BN2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155.90417175230155</v>
      </c>
      <c r="BO2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131.80989066330949</v>
      </c>
      <c r="BP262">
        <f>SUM(Таб[[#This Row],[1]:[12]])</f>
        <v>6004.2003599999998</v>
      </c>
    </row>
    <row r="263" spans="2:68" ht="51">
      <c r="B263" t="s">
        <v>384</v>
      </c>
      <c r="C263" t="str">
        <f>IFERROR(VLOOKUP(Таб[[#This Row],[Зелений Тариф ЕЦ]],Sheet6!$H$9:$I$29,2,FALSE),"")</f>
        <v>Земля</v>
      </c>
      <c r="D263" s="138"/>
      <c r="E263" s="138"/>
      <c r="F263" s="138" t="s">
        <v>3287</v>
      </c>
      <c r="G263" s="1" t="s">
        <v>699</v>
      </c>
      <c r="H263" t="s">
        <v>172</v>
      </c>
      <c r="I263" t="s">
        <v>700</v>
      </c>
      <c r="J263" s="7">
        <v>4.657</v>
      </c>
      <c r="K263" s="8"/>
      <c r="L263" s="8">
        <v>43277</v>
      </c>
      <c r="M263">
        <v>6</v>
      </c>
      <c r="N263" s="49" t="s">
        <v>57</v>
      </c>
      <c r="O263">
        <v>2018</v>
      </c>
      <c r="P263">
        <v>0.15029999999999999</v>
      </c>
      <c r="Q263" s="10"/>
      <c r="R263" s="11">
        <f>ROUND(Таб[[#This Row],[Зелений Тариф ЕЦ]]+Таб[[#This Row],[Зелений Тариф ЕЦ]]*Таб[[#This Row],[% надбавки]],4)</f>
        <v>0.15029999999999999</v>
      </c>
      <c r="S263" s="12"/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5.8000000000000003E-2</v>
      </c>
      <c r="AL263">
        <v>0.67800000000000005</v>
      </c>
      <c r="AM263">
        <v>0.76500000000000001</v>
      </c>
      <c r="AN263">
        <v>0.52700000000000002</v>
      </c>
      <c r="AO263">
        <v>0.45500000000000002</v>
      </c>
      <c r="AP263">
        <v>0.114</v>
      </c>
      <c r="AQ263">
        <v>5.0999999999999997E-2</v>
      </c>
      <c r="AR263">
        <v>6.5000000000000002E-2</v>
      </c>
      <c r="AS263">
        <v>0.24399999999999999</v>
      </c>
      <c r="AT263">
        <v>0.45400000000000001</v>
      </c>
      <c r="AU263">
        <v>0.61299999999999999</v>
      </c>
      <c r="AV263">
        <v>0.61199999999999999</v>
      </c>
      <c r="AW263">
        <v>0.82</v>
      </c>
      <c r="AX263">
        <v>0.751</v>
      </c>
      <c r="AY263">
        <v>0.72899999999999998</v>
      </c>
      <c r="BD2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149.95947473758756</v>
      </c>
      <c r="BE2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258.58114705484303</v>
      </c>
      <c r="BF2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436.24574469116379</v>
      </c>
      <c r="BG2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620.06703630498077</v>
      </c>
      <c r="BH2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763.43005320953648</v>
      </c>
      <c r="BI2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791.57493996380515</v>
      </c>
      <c r="BJ2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804.32809177433319</v>
      </c>
      <c r="BK2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695.2666556015422</v>
      </c>
      <c r="BL2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488.13787964434664</v>
      </c>
      <c r="BM2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313.5516289967739</v>
      </c>
      <c r="BN2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145.12207232669763</v>
      </c>
      <c r="BO2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122.69411569438982</v>
      </c>
      <c r="BP263">
        <f>SUM(Таб[[#This Row],[1]:[12]])</f>
        <v>5588.9588400000002</v>
      </c>
    </row>
    <row r="264" spans="2:68" ht="63.75">
      <c r="B264" t="s">
        <v>384</v>
      </c>
      <c r="C264" t="str">
        <f>IFERROR(VLOOKUP(Таб[[#This Row],[Зелений Тариф ЕЦ]],Sheet6!$H$9:$I$29,2,FALSE),"")</f>
        <v>Земля</v>
      </c>
      <c r="D264" s="138"/>
      <c r="E264" s="138"/>
      <c r="F264" s="138" t="s">
        <v>3287</v>
      </c>
      <c r="G264" s="1" t="s">
        <v>708</v>
      </c>
      <c r="H264" t="s">
        <v>172</v>
      </c>
      <c r="I264" t="s">
        <v>700</v>
      </c>
      <c r="J264" s="7">
        <v>0.55900000000000005</v>
      </c>
      <c r="K264" s="8"/>
      <c r="L264" s="8">
        <v>42831</v>
      </c>
      <c r="M264">
        <v>4</v>
      </c>
      <c r="N264" s="49" t="s">
        <v>57</v>
      </c>
      <c r="O264">
        <v>2017</v>
      </c>
      <c r="P264">
        <v>0.15029999999999999</v>
      </c>
      <c r="Q264" s="10"/>
      <c r="R264" s="11">
        <f>ROUND(Таб[[#This Row],[Зелений Тариф ЕЦ]]+Таб[[#This Row],[Зелений Тариф ЕЦ]]*Таб[[#This Row],[% надбавки]],4)</f>
        <v>0.15029999999999999</v>
      </c>
      <c r="S264" s="12"/>
      <c r="T264">
        <v>0</v>
      </c>
      <c r="U264">
        <v>0</v>
      </c>
      <c r="V264">
        <v>0</v>
      </c>
      <c r="W264">
        <v>5.8999999999999997E-2</v>
      </c>
      <c r="X264">
        <v>0.09</v>
      </c>
      <c r="Y264">
        <v>9.6000000000000002E-2</v>
      </c>
      <c r="Z264">
        <v>9.4000000000000028E-2</v>
      </c>
      <c r="AA264">
        <v>8.5999999999999965E-2</v>
      </c>
      <c r="AB264">
        <v>5.8999999999999997E-2</v>
      </c>
      <c r="AC264">
        <v>3.9000000000000035E-2</v>
      </c>
      <c r="AD264">
        <v>1.3000000000000012E-2</v>
      </c>
      <c r="AE264">
        <v>9.000000000000008E-3</v>
      </c>
      <c r="AF264">
        <v>1.6E-2</v>
      </c>
      <c r="AG264">
        <v>2.1999999999999999E-2</v>
      </c>
      <c r="AH264">
        <v>4.8000000000000001E-2</v>
      </c>
      <c r="AI264">
        <v>0.17699999999999999</v>
      </c>
      <c r="AJ264">
        <v>0.193</v>
      </c>
      <c r="AK264">
        <v>0.151</v>
      </c>
      <c r="AL264">
        <v>0.16900000000000001</v>
      </c>
      <c r="AM264">
        <v>0.183</v>
      </c>
      <c r="AN264">
        <v>0.124</v>
      </c>
      <c r="AO264">
        <v>0.112</v>
      </c>
      <c r="AP264">
        <v>2.5000000000000001E-2</v>
      </c>
      <c r="AQ264">
        <v>1.0999999999999999E-2</v>
      </c>
      <c r="AR264">
        <v>1.2E-2</v>
      </c>
      <c r="AS264">
        <v>5.5E-2</v>
      </c>
      <c r="AT264">
        <v>0.14399999999999999</v>
      </c>
      <c r="AU264">
        <v>0.20300000000000001</v>
      </c>
      <c r="AV264">
        <v>0.192</v>
      </c>
      <c r="AW264">
        <v>0.26700000000000002</v>
      </c>
      <c r="AX264">
        <v>0.245</v>
      </c>
      <c r="AY264">
        <v>0.24099999999999999</v>
      </c>
      <c r="BD2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18.000289108505786</v>
      </c>
      <c r="BE2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31.038621688567162</v>
      </c>
      <c r="BF2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52.364477406562287</v>
      </c>
      <c r="BG2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74.429347926666154</v>
      </c>
      <c r="BH2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91.637835461484002</v>
      </c>
      <c r="BI2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95.016188842552538</v>
      </c>
      <c r="BJ2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96.547005218349199</v>
      </c>
      <c r="BK2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83.455885866708641</v>
      </c>
      <c r="BL2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58.593316452907395</v>
      </c>
      <c r="BM2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37.63696813596664</v>
      </c>
      <c r="BN2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17.41963462113463</v>
      </c>
      <c r="BO2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14.727509270595643</v>
      </c>
      <c r="BP264">
        <f>SUM(Таб[[#This Row],[1]:[12]])</f>
        <v>670.8670800000001</v>
      </c>
    </row>
    <row r="265" spans="2:68" ht="63.75">
      <c r="B265" t="s">
        <v>384</v>
      </c>
      <c r="C265" t="str">
        <f>IFERROR(VLOOKUP(Таб[[#This Row],[Зелений Тариф ЕЦ]],Sheet6!$H$9:$I$29,2,FALSE),"")</f>
        <v>Земля</v>
      </c>
      <c r="D265" s="138"/>
      <c r="E265" s="138"/>
      <c r="F265" s="138" t="s">
        <v>3287</v>
      </c>
      <c r="G265" s="1" t="s">
        <v>708</v>
      </c>
      <c r="H265" t="s">
        <v>172</v>
      </c>
      <c r="I265" t="s">
        <v>700</v>
      </c>
      <c r="J265" s="7">
        <v>0.56000000000000005</v>
      </c>
      <c r="K265" s="8"/>
      <c r="L265" s="8">
        <v>43182</v>
      </c>
      <c r="M265">
        <v>3</v>
      </c>
      <c r="N265" s="49" t="s">
        <v>67</v>
      </c>
      <c r="O265">
        <v>2018</v>
      </c>
      <c r="P265">
        <v>0.15029999999999999</v>
      </c>
      <c r="Q265" s="10"/>
      <c r="R265" s="11">
        <f>ROUND(Таб[[#This Row],[Зелений Тариф ЕЦ]]+Таб[[#This Row],[Зелений Тариф ЕЦ]]*Таб[[#This Row],[% надбавки]],4)</f>
        <v>0.15029999999999999</v>
      </c>
      <c r="S265" s="12"/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BD2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18.032489983476282</v>
      </c>
      <c r="BE2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31.094146950979624</v>
      </c>
      <c r="BF2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52.458152679203714</v>
      </c>
      <c r="BG2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74.562495239594</v>
      </c>
      <c r="BH2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91.801767188606505</v>
      </c>
      <c r="BI2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95.186164135651921</v>
      </c>
      <c r="BJ2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96.719719002281863</v>
      </c>
      <c r="BK2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83.605180832480926</v>
      </c>
      <c r="BL2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58.698134550318692</v>
      </c>
      <c r="BM2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37.704297238177674</v>
      </c>
      <c r="BN2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17.450796758202852</v>
      </c>
      <c r="BO2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14.753855441026047</v>
      </c>
      <c r="BP265">
        <f>SUM(Таб[[#This Row],[1]:[12]])</f>
        <v>672.06720000000007</v>
      </c>
    </row>
    <row r="266" spans="2:68" ht="63.75">
      <c r="B266" t="s">
        <v>384</v>
      </c>
      <c r="C266" t="str">
        <f>IFERROR(VLOOKUP(Таб[[#This Row],[Зелений Тариф ЕЦ]],Sheet6!$H$9:$I$29,2,FALSE),"")</f>
        <v>Земля</v>
      </c>
      <c r="D266" s="138"/>
      <c r="E266" s="138"/>
      <c r="F266" s="138" t="s">
        <v>3287</v>
      </c>
      <c r="G266" s="1" t="s">
        <v>708</v>
      </c>
      <c r="H266" t="s">
        <v>172</v>
      </c>
      <c r="I266" t="s">
        <v>700</v>
      </c>
      <c r="J266" s="7">
        <v>0.39300000000000002</v>
      </c>
      <c r="K266" s="8"/>
      <c r="L266" s="8">
        <v>43494</v>
      </c>
      <c r="M266">
        <v>1</v>
      </c>
      <c r="N266" s="49" t="s">
        <v>67</v>
      </c>
      <c r="O266">
        <v>2019</v>
      </c>
      <c r="P266">
        <v>0.15029999999999999</v>
      </c>
      <c r="Q266" s="10"/>
      <c r="R266" s="11">
        <f>ROUND(Таб[[#This Row],[Зелений Тариф ЕЦ]]+Таб[[#This Row],[Зелений Тариф ЕЦ]]*Таб[[#This Row],[% надбавки]],4)</f>
        <v>0.15029999999999999</v>
      </c>
      <c r="S266" s="12"/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BD2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12.654943863403888</v>
      </c>
      <c r="BE2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21.821428128098198</v>
      </c>
      <c r="BF2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36.814382148084036</v>
      </c>
      <c r="BG2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52.326893980643632</v>
      </c>
      <c r="BH2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64.42516875914707</v>
      </c>
      <c r="BI2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66.800290188055712</v>
      </c>
      <c r="BJ2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67.87651708552994</v>
      </c>
      <c r="BK2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58.672921548508938</v>
      </c>
      <c r="BL2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41.193512282634359</v>
      </c>
      <c r="BM2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26.460337168935396</v>
      </c>
      <c r="BN2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12.246719867810214</v>
      </c>
      <c r="BO2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10.354044979148636</v>
      </c>
      <c r="BP266">
        <f>SUM(Таб[[#This Row],[1]:[12]])</f>
        <v>471.64715999999999</v>
      </c>
    </row>
    <row r="267" spans="2:68" ht="38.25">
      <c r="B267" t="s">
        <v>384</v>
      </c>
      <c r="C267" t="str">
        <f>IFERROR(VLOOKUP(Таб[[#This Row],[Зелений Тариф ЕЦ]],Sheet6!$H$9:$I$29,2,FALSE),"")</f>
        <v>Земля</v>
      </c>
      <c r="E267" t="s">
        <v>3376</v>
      </c>
      <c r="F267" t="s">
        <v>3377</v>
      </c>
      <c r="G267" s="1" t="s">
        <v>713</v>
      </c>
      <c r="H267" t="s">
        <v>122</v>
      </c>
      <c r="J267" s="7">
        <v>10.497999999999999</v>
      </c>
      <c r="K267" s="8"/>
      <c r="L267" s="8">
        <v>43111</v>
      </c>
      <c r="M267">
        <v>1</v>
      </c>
      <c r="N267" s="49" t="s">
        <v>67</v>
      </c>
      <c r="O267">
        <v>2018</v>
      </c>
      <c r="P267">
        <v>0.15029999999999999</v>
      </c>
      <c r="Q267" s="10"/>
      <c r="R267" s="11">
        <f>ROUND(Таб[[#This Row],[Зелений Тариф ЕЦ]]+Таб[[#This Row],[Зелений Тариф ЕЦ]]*Таб[[#This Row],[% надбавки]],4)</f>
        <v>0.15029999999999999</v>
      </c>
      <c r="S267" s="12"/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0.36399999999999999</v>
      </c>
      <c r="AH267">
        <v>0.79600000000000004</v>
      </c>
      <c r="AI267">
        <v>1.5629999999999999</v>
      </c>
      <c r="AJ267">
        <v>1.7689999999999999</v>
      </c>
      <c r="AK267">
        <v>1.726</v>
      </c>
      <c r="AL267">
        <v>1.5660000000000001</v>
      </c>
      <c r="AM267">
        <v>1.7250000000000001</v>
      </c>
      <c r="AN267">
        <v>1.0740000000000001</v>
      </c>
      <c r="AO267">
        <v>1.048</v>
      </c>
      <c r="AP267">
        <v>0.39600000000000002</v>
      </c>
      <c r="AQ267">
        <v>0.129</v>
      </c>
      <c r="AR267">
        <v>0.20799999999999999</v>
      </c>
      <c r="AS267">
        <v>0.46</v>
      </c>
      <c r="AT267">
        <v>1.0329999999999999</v>
      </c>
      <c r="AU267">
        <v>1.327</v>
      </c>
      <c r="AV267">
        <v>1.3540000000000001</v>
      </c>
      <c r="AW267">
        <v>1.5329999999999999</v>
      </c>
      <c r="AX267">
        <v>1.621</v>
      </c>
      <c r="AY267">
        <v>1.4730000000000001</v>
      </c>
      <c r="BD2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338.0447854402392</v>
      </c>
      <c r="BE2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582.90420480604303</v>
      </c>
      <c r="BF2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983.40301218978664</v>
      </c>
      <c r="BG2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1397.7804911165315</v>
      </c>
      <c r="BH2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1720.9552713321268</v>
      </c>
      <c r="BI2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1784.4006269572742</v>
      </c>
      <c r="BJ2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1813.1493037249193</v>
      </c>
      <c r="BK2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1567.2985506774728</v>
      </c>
      <c r="BL2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1100.3803866236526</v>
      </c>
      <c r="BM2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706.82091501140917</v>
      </c>
      <c r="BN2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327.14011494216697</v>
      </c>
      <c r="BO2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276.58209717837752</v>
      </c>
      <c r="BP267">
        <f>SUM(Таб[[#This Row],[1]:[12]])</f>
        <v>12598.859760000001</v>
      </c>
    </row>
    <row r="268" spans="2:68" ht="51">
      <c r="B268" t="s">
        <v>384</v>
      </c>
      <c r="C268" t="str">
        <f>IFERROR(VLOOKUP(Таб[[#This Row],[Зелений Тариф ЕЦ]],Sheet6!$H$9:$I$29,2,FALSE),"")</f>
        <v>Земля</v>
      </c>
      <c r="G268" s="1" t="s">
        <v>716</v>
      </c>
      <c r="H268" t="s">
        <v>172</v>
      </c>
      <c r="I268" t="s">
        <v>717</v>
      </c>
      <c r="J268" s="7">
        <v>4.9029999999999996</v>
      </c>
      <c r="K268" s="8"/>
      <c r="L268" s="8">
        <v>42404</v>
      </c>
      <c r="M268">
        <v>2</v>
      </c>
      <c r="N268" s="49" t="s">
        <v>67</v>
      </c>
      <c r="O268">
        <v>2016</v>
      </c>
      <c r="P268">
        <v>0.1696</v>
      </c>
      <c r="Q268" s="10"/>
      <c r="R268" s="11">
        <f>ROUND(Таб[[#This Row],[Зелений Тариф ЕЦ]]+Таб[[#This Row],[Зелений Тариф ЕЦ]]*Таб[[#This Row],[% надбавки]],4)</f>
        <v>0.1696</v>
      </c>
      <c r="S268" s="12"/>
      <c r="T268">
        <v>0.17100000000000001</v>
      </c>
      <c r="U268">
        <v>0.28900000000000003</v>
      </c>
      <c r="V268">
        <v>0.49999999999999994</v>
      </c>
      <c r="W268">
        <v>0.69900000000000007</v>
      </c>
      <c r="X268">
        <v>0.78599999999999981</v>
      </c>
      <c r="Y268">
        <v>0.73399999999999999</v>
      </c>
      <c r="Z268">
        <v>0.75</v>
      </c>
      <c r="AA268">
        <v>0.75200000000000022</v>
      </c>
      <c r="AB268">
        <v>0.54199999999999982</v>
      </c>
      <c r="AC268">
        <v>0.36300000000000043</v>
      </c>
      <c r="AD268">
        <v>0.12699999999999978</v>
      </c>
      <c r="AE268">
        <v>8.4999999999999964E-2</v>
      </c>
      <c r="AF268">
        <v>0.189</v>
      </c>
      <c r="AG268">
        <v>0.23</v>
      </c>
      <c r="AH268">
        <v>0.47399999999999998</v>
      </c>
      <c r="AI268">
        <v>0.77400000000000002</v>
      </c>
      <c r="AJ268">
        <v>0.83899999999999997</v>
      </c>
      <c r="AK268">
        <v>0.69099999999999995</v>
      </c>
      <c r="AL268">
        <v>0.70599999999999996</v>
      </c>
      <c r="AM268">
        <v>0.84699999999999998</v>
      </c>
      <c r="AN268">
        <v>0.57599999999999996</v>
      </c>
      <c r="AO268">
        <v>0.55700000000000005</v>
      </c>
      <c r="AP268">
        <v>0.13200000000000001</v>
      </c>
      <c r="AQ268">
        <v>0.06</v>
      </c>
      <c r="AR268">
        <v>9.2999999999999999E-2</v>
      </c>
      <c r="AS268">
        <v>0.27200000000000002</v>
      </c>
      <c r="AT268">
        <v>0.502</v>
      </c>
      <c r="AU268">
        <v>0.66300000000000003</v>
      </c>
      <c r="AV268">
        <v>0.64800000000000002</v>
      </c>
      <c r="AW268">
        <v>0.83599999999999997</v>
      </c>
      <c r="AX268">
        <v>0.76300000000000001</v>
      </c>
      <c r="AY268">
        <v>0.79200000000000004</v>
      </c>
      <c r="BD2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157.8808899803289</v>
      </c>
      <c r="BE2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272.24036160830906</v>
      </c>
      <c r="BF2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459.28986176095674</v>
      </c>
      <c r="BG2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652.82127528523085</v>
      </c>
      <c r="BH2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803.75725808167431</v>
      </c>
      <c r="BI2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833.38886206625216</v>
      </c>
      <c r="BJ2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846.81568262176393</v>
      </c>
      <c r="BK2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731.99321718152487</v>
      </c>
      <c r="BL2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513.92313160752224</v>
      </c>
      <c r="BM2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330.1145881406876</v>
      </c>
      <c r="BN2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152.78795804547957</v>
      </c>
      <c r="BO2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129.17527362026908</v>
      </c>
      <c r="BP268">
        <f>SUM(Таб[[#This Row],[1]:[12]])</f>
        <v>5884.1883599999974</v>
      </c>
    </row>
    <row r="269" spans="2:68" ht="25.5">
      <c r="B269" t="s">
        <v>384</v>
      </c>
      <c r="C269" t="str">
        <f>IFERROR(VLOOKUP(Таб[[#This Row],[Зелений Тариф ЕЦ]],Sheet6!$H$9:$I$29,2,FALSE),"")</f>
        <v>Дах</v>
      </c>
      <c r="G269" s="1" t="s">
        <v>719</v>
      </c>
      <c r="H269" t="s">
        <v>163</v>
      </c>
      <c r="I269" t="s">
        <v>720</v>
      </c>
      <c r="J269" s="7">
        <v>0.52200000000000002</v>
      </c>
      <c r="K269" s="8"/>
      <c r="L269" s="8">
        <v>43508</v>
      </c>
      <c r="M269">
        <v>2</v>
      </c>
      <c r="N269" s="49" t="s">
        <v>67</v>
      </c>
      <c r="O269">
        <v>2019</v>
      </c>
      <c r="P269">
        <v>0.16370000000000001</v>
      </c>
      <c r="Q269" s="10"/>
      <c r="R269" s="11">
        <f>ROUND(Таб[[#This Row],[Зелений Тариф ЕЦ]]+Таб[[#This Row],[Зелений Тариф ЕЦ]]*Таб[[#This Row],[% надбавки]],4)</f>
        <v>0.16370000000000001</v>
      </c>
      <c r="S269" s="12"/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BD2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16.808856734597533</v>
      </c>
      <c r="BE2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28.984186979306006</v>
      </c>
      <c r="BF2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48.89849231882917</v>
      </c>
      <c r="BG2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69.502897348335821</v>
      </c>
      <c r="BH2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85.572361557951055</v>
      </c>
      <c r="BI2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88.727102997875534</v>
      </c>
      <c r="BJ2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90.156595212841296</v>
      </c>
      <c r="BK2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77.931972133133996</v>
      </c>
      <c r="BL2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54.715046848689909</v>
      </c>
      <c r="BM2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35.145791354158469</v>
      </c>
      <c r="BN2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16.266635549610516</v>
      </c>
      <c r="BO2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13.752700964670707</v>
      </c>
      <c r="BP269">
        <f>SUM(Таб[[#This Row],[1]:[12]])</f>
        <v>626.46264000000008</v>
      </c>
    </row>
    <row r="270" spans="2:68" ht="38.25">
      <c r="B270" t="s">
        <v>384</v>
      </c>
      <c r="C270" t="str">
        <f>IFERROR(VLOOKUP(Таб[[#This Row],[Зелений Тариф ЕЦ]],Sheet6!$H$9:$I$29,2,FALSE),"")</f>
        <v>Земля</v>
      </c>
      <c r="G270" s="1" t="s">
        <v>722</v>
      </c>
      <c r="H270" t="s">
        <v>172</v>
      </c>
      <c r="I270" t="s">
        <v>723</v>
      </c>
      <c r="J270" s="7">
        <v>3.4649999999999999</v>
      </c>
      <c r="K270" s="8"/>
      <c r="L270" s="8">
        <v>43602</v>
      </c>
      <c r="M270">
        <v>5</v>
      </c>
      <c r="N270" s="49" t="s">
        <v>57</v>
      </c>
      <c r="O270">
        <v>2019</v>
      </c>
      <c r="P270">
        <v>0.15029999999999999</v>
      </c>
      <c r="Q270" s="10"/>
      <c r="R270" s="11">
        <f>ROUND(Таб[[#This Row],[Зелений Тариф ЕЦ]]+Таб[[#This Row],[Зелений Тариф ЕЦ]]*Таб[[#This Row],[% надбавки]],4)</f>
        <v>0.15029999999999999</v>
      </c>
      <c r="S270" s="12"/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0.48299999999999998</v>
      </c>
      <c r="AX270">
        <v>0.57999999999999996</v>
      </c>
      <c r="AY270">
        <v>0.52400000000000002</v>
      </c>
      <c r="BD2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111.57603177275946</v>
      </c>
      <c r="BE2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192.39503425918639</v>
      </c>
      <c r="BF2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324.58481970257293</v>
      </c>
      <c r="BG2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461.35543929498783</v>
      </c>
      <c r="BH2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568.02343447950273</v>
      </c>
      <c r="BI2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588.96439058934618</v>
      </c>
      <c r="BJ2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598.45326132661887</v>
      </c>
      <c r="BK2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517.30705640097563</v>
      </c>
      <c r="BL2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363.19470753009682</v>
      </c>
      <c r="BM2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233.29533916122429</v>
      </c>
      <c r="BN2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107.97680494138012</v>
      </c>
      <c r="BO2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91.289480541348652</v>
      </c>
      <c r="BP270">
        <f>SUM(Таб[[#This Row],[1]:[12]])</f>
        <v>4158.4157999999998</v>
      </c>
    </row>
    <row r="271" spans="2:68" ht="25.5">
      <c r="B271" t="s">
        <v>384</v>
      </c>
      <c r="C271" t="str">
        <f>IFERROR(VLOOKUP(Таб[[#This Row],[Зелений Тариф ЕЦ]],Sheet6!$H$9:$I$29,2,FALSE),"")</f>
        <v>Земля</v>
      </c>
      <c r="G271" s="1" t="s">
        <v>725</v>
      </c>
      <c r="H271" t="s">
        <v>172</v>
      </c>
      <c r="I271" t="s">
        <v>723</v>
      </c>
      <c r="J271" s="7">
        <v>1.0449999999999999</v>
      </c>
      <c r="K271" s="8"/>
      <c r="L271" s="8">
        <v>43277</v>
      </c>
      <c r="M271">
        <v>6</v>
      </c>
      <c r="N271" s="49" t="s">
        <v>57</v>
      </c>
      <c r="O271">
        <v>2018</v>
      </c>
      <c r="P271">
        <v>0.15029999999999999</v>
      </c>
      <c r="Q271" s="10"/>
      <c r="R271" s="11">
        <f>ROUND(Таб[[#This Row],[Зелений Тариф ЕЦ]]+Таб[[#This Row],[Зелений Тариф ЕЦ]]*Таб[[#This Row],[% надбавки]],4)</f>
        <v>0.15029999999999999</v>
      </c>
      <c r="S271" s="12"/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0.16800000000000001</v>
      </c>
      <c r="AN271">
        <v>0.123</v>
      </c>
      <c r="AO271">
        <v>0.106</v>
      </c>
      <c r="AP271">
        <v>2.8000000000000001E-2</v>
      </c>
      <c r="AQ271">
        <v>1.6E-2</v>
      </c>
      <c r="AR271">
        <v>1.6E-2</v>
      </c>
      <c r="AS271">
        <v>0.11799999999999999</v>
      </c>
      <c r="AT271">
        <v>0.224</v>
      </c>
      <c r="AU271">
        <v>0.28100000000000003</v>
      </c>
      <c r="AV271">
        <v>0.27800000000000002</v>
      </c>
      <c r="AW271">
        <v>0.36199999999999999</v>
      </c>
      <c r="AX271">
        <v>0.34200000000000003</v>
      </c>
      <c r="AY271">
        <v>0.32400000000000001</v>
      </c>
      <c r="BD2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33.649914344165552</v>
      </c>
      <c r="BE2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58.023899221024472</v>
      </c>
      <c r="BF2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97.890659910299789</v>
      </c>
      <c r="BG2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139.13894200959948</v>
      </c>
      <c r="BH2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171.30865484302461</v>
      </c>
      <c r="BI2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177.62418128885042</v>
      </c>
      <c r="BJ2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180.4859042096152</v>
      </c>
      <c r="BK2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156.01323923204029</v>
      </c>
      <c r="BL2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109.53491179479111</v>
      </c>
      <c r="BM2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70.358911810527957</v>
      </c>
      <c r="BN2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32.564433236289247</v>
      </c>
      <c r="BO2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27.531748099771814</v>
      </c>
      <c r="BP271">
        <f>SUM(Таб[[#This Row],[1]:[12]])</f>
        <v>1254.1254000000001</v>
      </c>
    </row>
    <row r="272" spans="2:68" ht="25.5">
      <c r="B272" t="s">
        <v>384</v>
      </c>
      <c r="C272" t="str">
        <f>IFERROR(VLOOKUP(Таб[[#This Row],[Зелений Тариф ЕЦ]],Sheet6!$H$9:$I$29,2,FALSE),"")</f>
        <v>Земля</v>
      </c>
      <c r="G272" s="1" t="s">
        <v>725</v>
      </c>
      <c r="H272" t="s">
        <v>172</v>
      </c>
      <c r="I272" t="s">
        <v>723</v>
      </c>
      <c r="J272" s="7">
        <v>1.1319999999999999</v>
      </c>
      <c r="K272" s="8"/>
      <c r="L272" s="8">
        <v>43490</v>
      </c>
      <c r="M272">
        <v>1</v>
      </c>
      <c r="N272" s="49" t="s">
        <v>67</v>
      </c>
      <c r="O272">
        <v>2019</v>
      </c>
      <c r="P272">
        <v>0.15029999999999999</v>
      </c>
      <c r="Q272" s="10"/>
      <c r="R272" s="11">
        <f>ROUND(Таб[[#This Row],[Зелений Тариф ЕЦ]]+Таб[[#This Row],[Зелений Тариф ЕЦ]]*Таб[[#This Row],[% надбавки]],4)</f>
        <v>0.15029999999999999</v>
      </c>
      <c r="S272" s="12"/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BD2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36.451390466598475</v>
      </c>
      <c r="BE2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62.854597050908801</v>
      </c>
      <c r="BF2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106.04040863010464</v>
      </c>
      <c r="BG2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150.7227582343221</v>
      </c>
      <c r="BH2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185.57071510268312</v>
      </c>
      <c r="BI2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192.41203178849634</v>
      </c>
      <c r="BJ2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195.51200341175542</v>
      </c>
      <c r="BK2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169.00190125422927</v>
      </c>
      <c r="BL2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118.65408626957276</v>
      </c>
      <c r="BM2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76.216543702887705</v>
      </c>
      <c r="BN2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35.27553916122433</v>
      </c>
      <c r="BO2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29.823864927216931</v>
      </c>
      <c r="BP272">
        <f>SUM(Таб[[#This Row],[1]:[12]])</f>
        <v>1358.5358399999998</v>
      </c>
    </row>
    <row r="273" spans="2:68" ht="63.75">
      <c r="B273" t="s">
        <v>384</v>
      </c>
      <c r="C273" t="str">
        <f>IFERROR(VLOOKUP(Таб[[#This Row],[Зелений Тариф ЕЦ]],Sheet6!$H$9:$I$29,2,FALSE),"")</f>
        <v>Земля</v>
      </c>
      <c r="G273" s="1" t="s">
        <v>730</v>
      </c>
      <c r="H273" t="s">
        <v>172</v>
      </c>
      <c r="I273" t="s">
        <v>731</v>
      </c>
      <c r="J273" s="7">
        <v>0.49399999999999999</v>
      </c>
      <c r="K273" s="8"/>
      <c r="L273" s="8">
        <v>41508</v>
      </c>
      <c r="M273">
        <v>8</v>
      </c>
      <c r="N273" s="49" t="s">
        <v>60</v>
      </c>
      <c r="O273">
        <v>2013</v>
      </c>
      <c r="P273">
        <v>0.46529999999999999</v>
      </c>
      <c r="Q273" s="10"/>
      <c r="R273" s="11">
        <f>ROUND(Таб[[#This Row],[Зелений Тариф ЕЦ]]+Таб[[#This Row],[Зелений Тариф ЕЦ]]*Таб[[#This Row],[% надбавки]],4)</f>
        <v>0.46529999999999999</v>
      </c>
      <c r="S273" s="12"/>
      <c r="T273">
        <v>1.7000000000000001E-2</v>
      </c>
      <c r="U273">
        <v>2.7999999999999997E-2</v>
      </c>
      <c r="V273">
        <v>4.1999999999999996E-2</v>
      </c>
      <c r="W273">
        <v>6.5000000000000002E-2</v>
      </c>
      <c r="X273">
        <v>7.400000000000001E-2</v>
      </c>
      <c r="Y273">
        <v>7.5999999999999984E-2</v>
      </c>
      <c r="Z273">
        <v>7.5000000000000011E-2</v>
      </c>
      <c r="AA273">
        <v>7.3000000000000009E-2</v>
      </c>
      <c r="AB273">
        <v>5.1999999999999991E-2</v>
      </c>
      <c r="AC273">
        <v>3.5000000000000031E-2</v>
      </c>
      <c r="AD273">
        <v>1.2000000000000011E-2</v>
      </c>
      <c r="AE273">
        <v>8.0000000000000071E-3</v>
      </c>
      <c r="AF273">
        <v>1.9E-2</v>
      </c>
      <c r="AG273">
        <v>3.1E-2</v>
      </c>
      <c r="AH273">
        <v>5.0999999999999997E-2</v>
      </c>
      <c r="AI273">
        <v>7.4999999999999997E-2</v>
      </c>
      <c r="AJ273">
        <v>0.08</v>
      </c>
      <c r="AK273">
        <v>6.7000000000000004E-2</v>
      </c>
      <c r="AL273">
        <v>6.6000000000000003E-2</v>
      </c>
      <c r="AM273">
        <v>7.8E-2</v>
      </c>
      <c r="AN273">
        <v>5.6000000000000001E-2</v>
      </c>
      <c r="AO273">
        <v>5.0999999999999997E-2</v>
      </c>
      <c r="AP273">
        <v>1.6E-2</v>
      </c>
      <c r="AQ273">
        <v>8.9999999999999993E-3</v>
      </c>
      <c r="AR273">
        <v>1.2E-2</v>
      </c>
      <c r="AS273">
        <v>2.9000000000000001E-2</v>
      </c>
      <c r="AT273">
        <v>4.7E-2</v>
      </c>
      <c r="AU273">
        <v>6.6000000000000003E-2</v>
      </c>
      <c r="AV273">
        <v>5.8000000000000003E-2</v>
      </c>
      <c r="AW273">
        <v>7.8E-2</v>
      </c>
      <c r="AX273">
        <v>7.5999999999999998E-2</v>
      </c>
      <c r="AY273">
        <v>7.3999999999999996E-2</v>
      </c>
      <c r="BD2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15.907232235423718</v>
      </c>
      <c r="BE2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27.429479631757022</v>
      </c>
      <c r="BF2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46.275584684868988</v>
      </c>
      <c r="BG2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65.774772586356136</v>
      </c>
      <c r="BH2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80.98227319852073</v>
      </c>
      <c r="BI2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83.967794791092928</v>
      </c>
      <c r="BJ2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85.320609262727203</v>
      </c>
      <c r="BK2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73.751713091509956</v>
      </c>
      <c r="BL2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51.780140121173972</v>
      </c>
      <c r="BM2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33.260576492249584</v>
      </c>
      <c r="BN2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15.394095711700373</v>
      </c>
      <c r="BO2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13.015008192619403</v>
      </c>
      <c r="BP273">
        <f>SUM(Таб[[#This Row],[1]:[12]])</f>
        <v>592.85928000000001</v>
      </c>
    </row>
    <row r="274" spans="2:68" ht="63.75">
      <c r="B274" t="s">
        <v>384</v>
      </c>
      <c r="C274" t="str">
        <f>IFERROR(VLOOKUP(Таб[[#This Row],[Зелений Тариф ЕЦ]],Sheet6!$H$9:$I$29,2,FALSE),"")</f>
        <v>Земля</v>
      </c>
      <c r="G274" s="1" t="s">
        <v>730</v>
      </c>
      <c r="H274" t="s">
        <v>172</v>
      </c>
      <c r="I274" t="s">
        <v>731</v>
      </c>
      <c r="J274" s="7">
        <v>1.482</v>
      </c>
      <c r="K274" s="8"/>
      <c r="L274" s="8">
        <v>41508</v>
      </c>
      <c r="M274">
        <v>8</v>
      </c>
      <c r="N274" s="49" t="s">
        <v>60</v>
      </c>
      <c r="O274">
        <v>2013</v>
      </c>
      <c r="P274">
        <v>0.33929999999999999</v>
      </c>
      <c r="Q274" s="10"/>
      <c r="R274" s="11">
        <f>ROUND(Таб[[#This Row],[Зелений Тариф ЕЦ]]+Таб[[#This Row],[Зелений Тариф ЕЦ]]*Таб[[#This Row],[% надбавки]],4)</f>
        <v>0.33929999999999999</v>
      </c>
      <c r="S274" s="12"/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1.5009999999999999</v>
      </c>
      <c r="AF274">
        <v>5.1999999999999998E-2</v>
      </c>
      <c r="AG274">
        <v>8.3000000000000004E-2</v>
      </c>
      <c r="AH274">
        <v>0.14699999999999999</v>
      </c>
      <c r="AI274">
        <v>0.21299999999999999</v>
      </c>
      <c r="AJ274">
        <v>0.23300000000000001</v>
      </c>
      <c r="AK274">
        <v>0.19700000000000001</v>
      </c>
      <c r="AL274">
        <v>0.19500000000000001</v>
      </c>
      <c r="AM274">
        <v>0.23</v>
      </c>
      <c r="AN274">
        <v>0.16600000000000001</v>
      </c>
      <c r="AO274">
        <v>0.14499999999999999</v>
      </c>
      <c r="AP274">
        <v>4.3999999999999997E-2</v>
      </c>
      <c r="AQ274">
        <v>2.4E-2</v>
      </c>
      <c r="AR274">
        <v>3.3000000000000002E-2</v>
      </c>
      <c r="AS274">
        <v>8.2000000000000003E-2</v>
      </c>
      <c r="AT274">
        <v>0.13300000000000001</v>
      </c>
      <c r="AU274">
        <v>0.17899999999999999</v>
      </c>
      <c r="AV274">
        <v>0.17299999999999999</v>
      </c>
      <c r="AW274">
        <v>0.22700000000000001</v>
      </c>
      <c r="AX274">
        <v>0.223</v>
      </c>
      <c r="AY274">
        <v>0.21099999999999999</v>
      </c>
      <c r="BD2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47.721696706271153</v>
      </c>
      <c r="BE2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82.288438895271071</v>
      </c>
      <c r="BF2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138.82675405460697</v>
      </c>
      <c r="BG2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197.32431775906838</v>
      </c>
      <c r="BH2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242.9468195955622</v>
      </c>
      <c r="BI2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251.90338437327878</v>
      </c>
      <c r="BJ2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255.96182778818161</v>
      </c>
      <c r="BK2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221.25513927452988</v>
      </c>
      <c r="BL2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155.34042036352193</v>
      </c>
      <c r="BM2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99.781729476748751</v>
      </c>
      <c r="BN2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46.182287135101113</v>
      </c>
      <c r="BO2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39.045024577858214</v>
      </c>
      <c r="BP274">
        <f>SUM(Таб[[#This Row],[1]:[12]])</f>
        <v>1778.5778399999999</v>
      </c>
    </row>
    <row r="275" spans="2:68" ht="38.25">
      <c r="B275" t="s">
        <v>384</v>
      </c>
      <c r="C275" t="str">
        <f>IFERROR(VLOOKUP(Таб[[#This Row],[Зелений Тариф ЕЦ]],Sheet6!$H$9:$I$29,2,FALSE),"")</f>
        <v>Земля</v>
      </c>
      <c r="G275" s="1" t="s">
        <v>734</v>
      </c>
      <c r="H275" t="s">
        <v>198</v>
      </c>
      <c r="I275" t="s">
        <v>448</v>
      </c>
      <c r="J275" s="7">
        <v>5.5229999999999997</v>
      </c>
      <c r="K275" s="8"/>
      <c r="L275" s="8">
        <v>43581</v>
      </c>
      <c r="M275">
        <v>4</v>
      </c>
      <c r="N275" s="49" t="s">
        <v>57</v>
      </c>
      <c r="O275">
        <v>2019</v>
      </c>
      <c r="P275">
        <v>0.15029999999999999</v>
      </c>
      <c r="Q275" s="10"/>
      <c r="R275" s="11">
        <f>ROUND(Таб[[#This Row],[Зелений Тариф ЕЦ]]+Таб[[#This Row],[Зелений Тариф ЕЦ]]*Таб[[#This Row],[% надбавки]],4)</f>
        <v>0.15029999999999999</v>
      </c>
      <c r="S275" s="12"/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0.54900000000000004</v>
      </c>
      <c r="AW275">
        <v>0.83799999999999997</v>
      </c>
      <c r="AX275">
        <v>0.82799999999999996</v>
      </c>
      <c r="AY275">
        <v>0.81799999999999995</v>
      </c>
      <c r="BD2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177.84543246203481</v>
      </c>
      <c r="BE2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306.66602430403645</v>
      </c>
      <c r="BF2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517.36853079864659</v>
      </c>
      <c r="BG2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735.37260930049558</v>
      </c>
      <c r="BH2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905.39492889763164</v>
      </c>
      <c r="BI2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938.77354378786686</v>
      </c>
      <c r="BJ2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953.89822866000475</v>
      </c>
      <c r="BK2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824.5560959603431</v>
      </c>
      <c r="BL2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578.91035200251793</v>
      </c>
      <c r="BM2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371.85863151152722</v>
      </c>
      <c r="BN2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172.10848302777561</v>
      </c>
      <c r="BO2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145.50989928711937</v>
      </c>
      <c r="BP275">
        <f>SUM(Таб[[#This Row],[1]:[12]])</f>
        <v>6628.2627600000005</v>
      </c>
    </row>
    <row r="276" spans="2:68" ht="76.5">
      <c r="B276" t="s">
        <v>384</v>
      </c>
      <c r="C276" t="str">
        <f>IFERROR(VLOOKUP(Таб[[#This Row],[Зелений Тариф ЕЦ]],Sheet6!$H$9:$I$29,2,FALSE),"")</f>
        <v>Земля</v>
      </c>
      <c r="G276" s="1" t="s">
        <v>736</v>
      </c>
      <c r="H276" t="s">
        <v>98</v>
      </c>
      <c r="I276" t="s">
        <v>3303</v>
      </c>
      <c r="J276" s="7">
        <v>2.0350000000000001</v>
      </c>
      <c r="K276" s="8"/>
      <c r="L276" s="8">
        <v>43182</v>
      </c>
      <c r="M276">
        <v>3</v>
      </c>
      <c r="N276" s="49" t="s">
        <v>67</v>
      </c>
      <c r="O276">
        <v>2018</v>
      </c>
      <c r="P276">
        <v>0.15029999999999999</v>
      </c>
      <c r="Q276" s="10"/>
      <c r="R276" s="11">
        <f>ROUND(Таб[[#This Row],[Зелений Тариф ЕЦ]]+Таб[[#This Row],[Зелений Тариф ЕЦ]]*Таб[[#This Row],[% надбавки]],4)</f>
        <v>0.15029999999999999</v>
      </c>
      <c r="S276" s="12"/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0.28999999999999998</v>
      </c>
      <c r="AJ276">
        <v>0.32900000000000001</v>
      </c>
      <c r="AK276">
        <v>0.26800000000000002</v>
      </c>
      <c r="AL276">
        <v>0.25800000000000001</v>
      </c>
      <c r="AM276">
        <v>0.28899999999999998</v>
      </c>
      <c r="AN276">
        <v>0.23699999999999999</v>
      </c>
      <c r="AO276">
        <v>0.17799999999999999</v>
      </c>
      <c r="AP276">
        <v>6.8000000000000005E-2</v>
      </c>
      <c r="AQ276">
        <v>1.7000000000000001E-2</v>
      </c>
      <c r="AR276">
        <v>0.112</v>
      </c>
      <c r="AS276">
        <v>0.48299999999999998</v>
      </c>
      <c r="AT276">
        <v>0.625</v>
      </c>
      <c r="AU276">
        <v>0.83299999999999996</v>
      </c>
      <c r="AV276">
        <v>0.69699999999999995</v>
      </c>
      <c r="AW276">
        <v>1.2050000000000001</v>
      </c>
      <c r="AX276">
        <v>0.628</v>
      </c>
      <c r="AY276">
        <v>1.1240000000000001</v>
      </c>
      <c r="BD2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65.528780564953991</v>
      </c>
      <c r="BE2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112.99390900936345</v>
      </c>
      <c r="BF2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190.62917982532068</v>
      </c>
      <c r="BG2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270.95478180816747</v>
      </c>
      <c r="BH2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333.60106469431116</v>
      </c>
      <c r="BI2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345.89972145723505</v>
      </c>
      <c r="BJ2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351.47255030293491</v>
      </c>
      <c r="BK2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303.81525534660483</v>
      </c>
      <c r="BL2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213.30482823196164</v>
      </c>
      <c r="BM2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137.01472299944919</v>
      </c>
      <c r="BN2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63.414948933826437</v>
      </c>
      <c r="BO2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53.614456825871443</v>
      </c>
      <c r="BP276">
        <f>SUM(Таб[[#This Row],[1]:[12]])</f>
        <v>2442.2442000000001</v>
      </c>
    </row>
    <row r="277" spans="2:68" ht="76.5">
      <c r="B277" t="s">
        <v>384</v>
      </c>
      <c r="C277" t="str">
        <f>IFERROR(VLOOKUP(Таб[[#This Row],[Зелений Тариф ЕЦ]],Sheet6!$H$9:$I$29,2,FALSE),"")</f>
        <v>Земля</v>
      </c>
      <c r="G277" s="1" t="s">
        <v>736</v>
      </c>
      <c r="H277" t="s">
        <v>98</v>
      </c>
      <c r="I277" t="s">
        <v>3303</v>
      </c>
      <c r="J277" s="7">
        <v>2.2440000000000002</v>
      </c>
      <c r="K277" s="8"/>
      <c r="L277" s="8">
        <v>43455</v>
      </c>
      <c r="M277">
        <v>12</v>
      </c>
      <c r="N277" s="49" t="s">
        <v>71</v>
      </c>
      <c r="O277">
        <v>2018</v>
      </c>
      <c r="P277">
        <v>0.15029999999999999</v>
      </c>
      <c r="Q277" s="10"/>
      <c r="R277" s="11">
        <f>ROUND(Таб[[#This Row],[Зелений Тариф ЕЦ]]+Таб[[#This Row],[Зелений Тариф ЕЦ]]*Таб[[#This Row],[% надбавки]],4)</f>
        <v>0.15029999999999999</v>
      </c>
      <c r="S277" s="12"/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BD2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72.258763433787095</v>
      </c>
      <c r="BE2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124.59868885356835</v>
      </c>
      <c r="BF2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210.20731180738062</v>
      </c>
      <c r="BG2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298.78257021008739</v>
      </c>
      <c r="BH2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367.86279566291608</v>
      </c>
      <c r="BI2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381.42455771500522</v>
      </c>
      <c r="BJ2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387.56973114485794</v>
      </c>
      <c r="BK2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335.0179031930129</v>
      </c>
      <c r="BL2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235.21181059091987</v>
      </c>
      <c r="BM2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151.0865053615548</v>
      </c>
      <c r="BN2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69.927835581084281</v>
      </c>
      <c r="BO2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59.120806445825799</v>
      </c>
      <c r="BP277">
        <f>SUM(Таб[[#This Row],[1]:[12]])</f>
        <v>2693.0692800000006</v>
      </c>
    </row>
    <row r="278" spans="2:68" ht="76.5">
      <c r="B278" t="s">
        <v>384</v>
      </c>
      <c r="C278" t="str">
        <f>IFERROR(VLOOKUP(Таб[[#This Row],[Зелений Тариф ЕЦ]],Sheet6!$H$9:$I$29,2,FALSE),"")</f>
        <v>Земля</v>
      </c>
      <c r="G278" s="1" t="s">
        <v>736</v>
      </c>
      <c r="H278" t="s">
        <v>98</v>
      </c>
      <c r="I278" t="s">
        <v>3303</v>
      </c>
      <c r="J278" s="7">
        <v>2.2440000000000002</v>
      </c>
      <c r="K278" s="8"/>
      <c r="L278" s="8">
        <v>43455</v>
      </c>
      <c r="M278">
        <v>12</v>
      </c>
      <c r="N278" s="49" t="s">
        <v>71</v>
      </c>
      <c r="O278">
        <v>2018</v>
      </c>
      <c r="P278">
        <v>0.15029999999999999</v>
      </c>
      <c r="Q278" s="10"/>
      <c r="R278" s="11">
        <f>ROUND(Таб[[#This Row],[Зелений Тариф ЕЦ]]+Таб[[#This Row],[Зелений Тариф ЕЦ]]*Таб[[#This Row],[% надбавки]],4)</f>
        <v>0.15029999999999999</v>
      </c>
      <c r="S278" s="12"/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BD2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72.258763433787095</v>
      </c>
      <c r="BE2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124.59868885356835</v>
      </c>
      <c r="BF2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210.20731180738062</v>
      </c>
      <c r="BG2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298.78257021008739</v>
      </c>
      <c r="BH2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367.86279566291608</v>
      </c>
      <c r="BI2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381.42455771500522</v>
      </c>
      <c r="BJ2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387.56973114485794</v>
      </c>
      <c r="BK2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335.0179031930129</v>
      </c>
      <c r="BL2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235.21181059091987</v>
      </c>
      <c r="BM2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151.0865053615548</v>
      </c>
      <c r="BN2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69.927835581084281</v>
      </c>
      <c r="BO2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59.120806445825799</v>
      </c>
      <c r="BP278">
        <f>SUM(Таб[[#This Row],[1]:[12]])</f>
        <v>2693.0692800000006</v>
      </c>
    </row>
    <row r="279" spans="2:68" ht="76.5">
      <c r="B279" t="s">
        <v>384</v>
      </c>
      <c r="C279" t="str">
        <f>IFERROR(VLOOKUP(Таб[[#This Row],[Зелений Тариф ЕЦ]],Sheet6!$H$9:$I$29,2,FALSE),"")</f>
        <v>Земля</v>
      </c>
      <c r="G279" s="1" t="s">
        <v>736</v>
      </c>
      <c r="H279" t="s">
        <v>98</v>
      </c>
      <c r="I279" t="s">
        <v>3303</v>
      </c>
      <c r="J279" s="7">
        <v>1.141</v>
      </c>
      <c r="K279" s="8"/>
      <c r="L279" s="8">
        <v>43596</v>
      </c>
      <c r="M279">
        <v>5</v>
      </c>
      <c r="N279" s="49" t="s">
        <v>57</v>
      </c>
      <c r="O279">
        <v>2019</v>
      </c>
      <c r="P279">
        <v>0.15029999999999999</v>
      </c>
      <c r="Q279" s="10"/>
      <c r="R279" s="11">
        <f>ROUND(Таб[[#This Row],[Зелений Тариф ЕЦ]]+Таб[[#This Row],[Зелений Тариф ЕЦ]]*Таб[[#This Row],[% надбавки]],4)</f>
        <v>0.15029999999999999</v>
      </c>
      <c r="S279" s="12"/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BD2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36.741198341332918</v>
      </c>
      <c r="BE2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63.354324412620983</v>
      </c>
      <c r="BF2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106.88348608387756</v>
      </c>
      <c r="BG2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151.92108405067273</v>
      </c>
      <c r="BH2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187.04610064678576</v>
      </c>
      <c r="BI2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193.94180942639076</v>
      </c>
      <c r="BJ2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197.06642746714928</v>
      </c>
      <c r="BK2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170.34555594617987</v>
      </c>
      <c r="BL2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119.59744914627431</v>
      </c>
      <c r="BM2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76.822505622786991</v>
      </c>
      <c r="BN2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35.555998394838305</v>
      </c>
      <c r="BO2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30.060980461090566</v>
      </c>
      <c r="BP279">
        <f>SUM(Таб[[#This Row],[1]:[12]])</f>
        <v>1369.3369200000002</v>
      </c>
    </row>
    <row r="280" spans="2:68" ht="38.25">
      <c r="B280" t="s">
        <v>384</v>
      </c>
      <c r="C280" t="str">
        <f>IFERROR(VLOOKUP(Таб[[#This Row],[Зелений Тариф ЕЦ]],Sheet6!$H$9:$I$29,2,FALSE),"")</f>
        <v>Земля</v>
      </c>
      <c r="G280" s="1" t="s">
        <v>745</v>
      </c>
      <c r="H280" t="s">
        <v>65</v>
      </c>
      <c r="I280" t="s">
        <v>3304</v>
      </c>
      <c r="J280" s="7">
        <v>4.5549999999999997</v>
      </c>
      <c r="K280" s="8"/>
      <c r="L280" s="8">
        <v>43462</v>
      </c>
      <c r="M280">
        <v>12</v>
      </c>
      <c r="N280" s="49" t="s">
        <v>71</v>
      </c>
      <c r="O280">
        <v>2018</v>
      </c>
      <c r="P280">
        <v>0.15029999999999999</v>
      </c>
      <c r="Q280" s="10"/>
      <c r="R280" s="11">
        <f>ROUND(Таб[[#This Row],[Зелений Тариф ЕЦ]]+Таб[[#This Row],[Зелений Тариф ЕЦ]]*Таб[[#This Row],[% надбавки]],4)</f>
        <v>0.15029999999999999</v>
      </c>
      <c r="S280" s="12"/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0.28199999999999997</v>
      </c>
      <c r="AT280">
        <v>0.439</v>
      </c>
      <c r="AU280">
        <v>0.54700000000000004</v>
      </c>
      <c r="AV280">
        <v>0.498</v>
      </c>
      <c r="AW280">
        <v>0.72699999999999998</v>
      </c>
      <c r="AX280">
        <v>0.73799999999999999</v>
      </c>
      <c r="AY280">
        <v>0.70299999999999996</v>
      </c>
      <c r="BD2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146.67498549059724</v>
      </c>
      <c r="BE2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252.91757028877174</v>
      </c>
      <c r="BF2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426.69086688173735</v>
      </c>
      <c r="BG2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606.48601038634024</v>
      </c>
      <c r="BH2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746.70901704304038</v>
      </c>
      <c r="BI2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774.23746006766874</v>
      </c>
      <c r="BJ2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786.71128581320318</v>
      </c>
      <c r="BK2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680.03856909276885</v>
      </c>
      <c r="BL2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477.4464337083956</v>
      </c>
      <c r="BM2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306.68406057124866</v>
      </c>
      <c r="BN2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141.94353434573924</v>
      </c>
      <c r="BO2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120.00680631048863</v>
      </c>
      <c r="BP280">
        <f>SUM(Таб[[#This Row],[1]:[12]])</f>
        <v>5466.5465999999997</v>
      </c>
    </row>
    <row r="281" spans="2:68" ht="38.25">
      <c r="B281" t="s">
        <v>384</v>
      </c>
      <c r="C281" t="str">
        <f>IFERROR(VLOOKUP(Таб[[#This Row],[Зелений Тариф ЕЦ]],Sheet6!$H$9:$I$29,2,FALSE),"")</f>
        <v>Земля</v>
      </c>
      <c r="G281" s="1" t="s">
        <v>748</v>
      </c>
      <c r="H281" t="s">
        <v>233</v>
      </c>
      <c r="I281" t="s">
        <v>289</v>
      </c>
      <c r="J281" s="7">
        <v>3.5059999999999998</v>
      </c>
      <c r="K281" s="8"/>
      <c r="L281" s="8">
        <v>43567</v>
      </c>
      <c r="M281">
        <v>4</v>
      </c>
      <c r="N281" s="49" t="s">
        <v>57</v>
      </c>
      <c r="O281">
        <v>2019</v>
      </c>
      <c r="P281">
        <v>0.15029999999999999</v>
      </c>
      <c r="Q281" s="10"/>
      <c r="R281" s="11">
        <f>ROUND(Таб[[#This Row],[Зелений Тариф ЕЦ]]+Таб[[#This Row],[Зелений Тариф ЕЦ]]*Таб[[#This Row],[% надбавки]],4)</f>
        <v>0.15029999999999999</v>
      </c>
      <c r="S281" s="12"/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0.45800000000000002</v>
      </c>
      <c r="AV281">
        <v>0.39200000000000002</v>
      </c>
      <c r="AW281">
        <v>0.59099999999999997</v>
      </c>
      <c r="AX281">
        <v>0.56699999999999995</v>
      </c>
      <c r="AY281">
        <v>0.55000000000000004</v>
      </c>
      <c r="BD2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112.89626764654969</v>
      </c>
      <c r="BE2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194.67157001809738</v>
      </c>
      <c r="BF2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328.42550588087175</v>
      </c>
      <c r="BG2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466.81447912502949</v>
      </c>
      <c r="BH2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574.7446352915257</v>
      </c>
      <c r="BI2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595.93337760642066</v>
      </c>
      <c r="BJ2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605.5345264678574</v>
      </c>
      <c r="BK2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523.42814999763948</v>
      </c>
      <c r="BL2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367.4922495239594</v>
      </c>
      <c r="BM2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236.0558323518766</v>
      </c>
      <c r="BN2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109.25445256117715</v>
      </c>
      <c r="BO2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92.369673528995193</v>
      </c>
      <c r="BP281">
        <f>SUM(Таб[[#This Row],[1]:[12]])</f>
        <v>4207.6207199999999</v>
      </c>
    </row>
    <row r="282" spans="2:68" ht="38.25">
      <c r="B282" t="s">
        <v>384</v>
      </c>
      <c r="C282" t="str">
        <f>IFERROR(VLOOKUP(Таб[[#This Row],[Зелений Тариф ЕЦ]],Sheet6!$H$9:$I$29,2,FALSE),"")</f>
        <v>Земля</v>
      </c>
      <c r="G282" s="1" t="s">
        <v>750</v>
      </c>
      <c r="H282" t="s">
        <v>136</v>
      </c>
      <c r="I282" t="s">
        <v>66</v>
      </c>
      <c r="J282" s="7">
        <v>4.95</v>
      </c>
      <c r="K282" s="8"/>
      <c r="L282" s="8">
        <v>42047</v>
      </c>
      <c r="M282">
        <v>2</v>
      </c>
      <c r="N282" s="49" t="s">
        <v>67</v>
      </c>
      <c r="O282">
        <v>2015</v>
      </c>
      <c r="P282">
        <v>0.33929999999999999</v>
      </c>
      <c r="Q282" s="10"/>
      <c r="R282" s="11">
        <f>ROUND(Таб[[#This Row],[Зелений Тариф ЕЦ]]+Таб[[#This Row],[Зелений Тариф ЕЦ]]*Таб[[#This Row],[% надбавки]],4)</f>
        <v>0.33929999999999999</v>
      </c>
      <c r="S282" s="12"/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7.5999999999999998E-2</v>
      </c>
      <c r="AF282">
        <v>0.14299999999999999</v>
      </c>
      <c r="AG282">
        <v>0.20599999999999999</v>
      </c>
      <c r="AH282">
        <v>0.55700000000000005</v>
      </c>
      <c r="AI282">
        <v>0.92900000000000005</v>
      </c>
      <c r="AJ282">
        <v>1.056</v>
      </c>
      <c r="AK282">
        <v>1.022</v>
      </c>
      <c r="AL282">
        <v>0.93700000000000006</v>
      </c>
      <c r="AM282">
        <v>1.08</v>
      </c>
      <c r="AN282">
        <v>0.67700000000000005</v>
      </c>
      <c r="AO282">
        <v>0.67400000000000004</v>
      </c>
      <c r="AP282">
        <v>0.25800000000000001</v>
      </c>
      <c r="AQ282">
        <v>4.2000000000000003E-2</v>
      </c>
      <c r="AR282">
        <v>0.16400000000000001</v>
      </c>
      <c r="AS282">
        <v>0.36499999999999999</v>
      </c>
      <c r="AT282">
        <v>0.64900000000000002</v>
      </c>
      <c r="AU282">
        <v>0.84699999999999998</v>
      </c>
      <c r="AV282">
        <v>0.9</v>
      </c>
      <c r="AW282">
        <v>1.0509999999999999</v>
      </c>
      <c r="AX282">
        <v>0.84</v>
      </c>
      <c r="AY282">
        <v>1.028</v>
      </c>
      <c r="BD2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159.39433110394214</v>
      </c>
      <c r="BE2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274.85004894169487</v>
      </c>
      <c r="BF2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463.69259957510428</v>
      </c>
      <c r="BG2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659.07919899283979</v>
      </c>
      <c r="BH2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811.46204925643246</v>
      </c>
      <c r="BI2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841.37770084192312</v>
      </c>
      <c r="BJ2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854.9332304665985</v>
      </c>
      <c r="BK2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739.01008057282252</v>
      </c>
      <c r="BL2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518.84958218585257</v>
      </c>
      <c r="BM2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333.27905594460617</v>
      </c>
      <c r="BN2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154.25257848768592</v>
      </c>
      <c r="BO2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130.41354363049805</v>
      </c>
      <c r="BP282">
        <f>SUM(Таб[[#This Row],[1]:[12]])</f>
        <v>5940.594000000001</v>
      </c>
    </row>
    <row r="283" spans="2:68" ht="63.75">
      <c r="B283" t="s">
        <v>384</v>
      </c>
      <c r="C283" t="str">
        <f>IFERROR(VLOOKUP(Таб[[#This Row],[Зелений Тариф ЕЦ]],Sheet6!$H$9:$I$29,2,FALSE),"")</f>
        <v>Земля</v>
      </c>
      <c r="G283" s="1" t="s">
        <v>753</v>
      </c>
      <c r="H283" t="s">
        <v>172</v>
      </c>
      <c r="I283" t="s">
        <v>717</v>
      </c>
      <c r="J283" s="7">
        <v>1.5</v>
      </c>
      <c r="K283" s="8"/>
      <c r="L283" s="8">
        <v>43013</v>
      </c>
      <c r="M283">
        <v>10</v>
      </c>
      <c r="N283" s="49" t="s">
        <v>71</v>
      </c>
      <c r="O283">
        <v>2017</v>
      </c>
      <c r="P283">
        <v>0.15029999999999999</v>
      </c>
      <c r="Q283" s="10"/>
      <c r="R283" s="11">
        <f>ROUND(Таб[[#This Row],[Зелений Тариф ЕЦ]]+Таб[[#This Row],[Зелений Тариф ЕЦ]]*Таб[[#This Row],[% надбавки]],4)</f>
        <v>0.15029999999999999</v>
      </c>
      <c r="S283" s="12"/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3.7999999999999999E-2</v>
      </c>
      <c r="AE283">
        <v>2.5000000000000001E-2</v>
      </c>
      <c r="AF283">
        <v>5.3999999999999999E-2</v>
      </c>
      <c r="AG283">
        <v>5.3999999999999999E-2</v>
      </c>
      <c r="AH283">
        <v>0.111</v>
      </c>
      <c r="AI283">
        <v>0.23899999999999999</v>
      </c>
      <c r="AJ283">
        <v>0.25900000000000001</v>
      </c>
      <c r="AK283">
        <v>0.219</v>
      </c>
      <c r="AL283">
        <v>0.23</v>
      </c>
      <c r="AM283">
        <v>0.25600000000000001</v>
      </c>
      <c r="AN283">
        <v>0.16900000000000001</v>
      </c>
      <c r="AO283">
        <v>0.155</v>
      </c>
      <c r="AP283">
        <v>3.7999999999999999E-2</v>
      </c>
      <c r="AQ283">
        <v>1.4E-2</v>
      </c>
      <c r="AR283">
        <v>2.1000000000000001E-2</v>
      </c>
      <c r="AS283">
        <v>7.3999999999999996E-2</v>
      </c>
      <c r="AT283">
        <v>0.14799999999999999</v>
      </c>
      <c r="AU283">
        <v>0.20499999999999999</v>
      </c>
      <c r="AV283">
        <v>0.20100000000000001</v>
      </c>
      <c r="AW283">
        <v>0.26</v>
      </c>
      <c r="AX283">
        <v>0.24199999999999999</v>
      </c>
      <c r="AY283">
        <v>0.23799999999999999</v>
      </c>
      <c r="BD2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48.301312455740039</v>
      </c>
      <c r="BE2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83.287893618695421</v>
      </c>
      <c r="BF2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140.51290896215284</v>
      </c>
      <c r="BG2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199.72096939176959</v>
      </c>
      <c r="BH2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245.89759068376742</v>
      </c>
      <c r="BI2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254.96293964906761</v>
      </c>
      <c r="BJ2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259.07067589896928</v>
      </c>
      <c r="BK2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223.94244865843103</v>
      </c>
      <c r="BL2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157.22714611692501</v>
      </c>
      <c r="BM2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100.99365331654732</v>
      </c>
      <c r="BN2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46.74320560232907</v>
      </c>
      <c r="BO2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39.519255645605483</v>
      </c>
      <c r="BP283">
        <f>SUM(Таб[[#This Row],[1]:[12]])</f>
        <v>1800.1799999999998</v>
      </c>
    </row>
    <row r="284" spans="2:68" ht="63.75">
      <c r="B284" t="s">
        <v>384</v>
      </c>
      <c r="C284" t="str">
        <f>IFERROR(VLOOKUP(Таб[[#This Row],[Зелений Тариф ЕЦ]],Sheet6!$H$9:$I$29,2,FALSE),"")</f>
        <v>Земля</v>
      </c>
      <c r="G284" s="1" t="s">
        <v>753</v>
      </c>
      <c r="H284" t="s">
        <v>172</v>
      </c>
      <c r="I284" t="s">
        <v>717</v>
      </c>
      <c r="J284" s="7">
        <v>1.452</v>
      </c>
      <c r="K284" s="8"/>
      <c r="L284" s="8">
        <v>43524</v>
      </c>
      <c r="M284">
        <v>2</v>
      </c>
      <c r="N284" s="49" t="s">
        <v>67</v>
      </c>
      <c r="O284">
        <v>2019</v>
      </c>
      <c r="P284">
        <v>0.15029999999999999</v>
      </c>
      <c r="Q284" s="10"/>
      <c r="R284" s="11">
        <f>ROUND(Таб[[#This Row],[Зелений Тариф ЕЦ]]+Таб[[#This Row],[Зелений Тариф ЕЦ]]*Таб[[#This Row],[% надбавки]],4)</f>
        <v>0.15029999999999999</v>
      </c>
      <c r="S284" s="12"/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7.4999999999999997E-2</v>
      </c>
      <c r="AT284">
        <v>0.14899999999999999</v>
      </c>
      <c r="AU284">
        <v>0.20100000000000001</v>
      </c>
      <c r="AV284">
        <v>0.19500000000000001</v>
      </c>
      <c r="AW284">
        <v>0.251</v>
      </c>
      <c r="AX284">
        <v>0.22900000000000001</v>
      </c>
      <c r="AY284">
        <v>0.23499999999999999</v>
      </c>
      <c r="BD2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46.755670457156349</v>
      </c>
      <c r="BE2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80.622681022897169</v>
      </c>
      <c r="BF2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136.01649587536389</v>
      </c>
      <c r="BG2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193.32989837123301</v>
      </c>
      <c r="BH2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238.02886778188685</v>
      </c>
      <c r="BI2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246.80412558029744</v>
      </c>
      <c r="BJ2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250.78041427020219</v>
      </c>
      <c r="BK2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216.77629030136126</v>
      </c>
      <c r="BL2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152.19587744118343</v>
      </c>
      <c r="BM2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97.761856410417806</v>
      </c>
      <c r="BN2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45.247423023054537</v>
      </c>
      <c r="BO2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38.254639464946095</v>
      </c>
      <c r="BP284">
        <f>SUM(Таб[[#This Row],[1]:[12]])</f>
        <v>1742.5742400000001</v>
      </c>
    </row>
    <row r="285" spans="2:68" ht="76.5">
      <c r="B285" t="s">
        <v>384</v>
      </c>
      <c r="C285" t="str">
        <f>IFERROR(VLOOKUP(Таб[[#This Row],[Зелений Тариф ЕЦ]],Sheet6!$H$9:$I$29,2,FALSE),"")</f>
        <v>Земля</v>
      </c>
      <c r="D285" t="s">
        <v>3365</v>
      </c>
      <c r="E285" t="s">
        <v>3363</v>
      </c>
      <c r="F285" t="s">
        <v>3364</v>
      </c>
      <c r="G285" s="1" t="s">
        <v>756</v>
      </c>
      <c r="H285" t="s">
        <v>73</v>
      </c>
      <c r="I285" t="s">
        <v>3305</v>
      </c>
      <c r="J285" s="7">
        <v>15.465</v>
      </c>
      <c r="K285" s="8"/>
      <c r="L285" s="8">
        <v>43508</v>
      </c>
      <c r="M285">
        <v>2</v>
      </c>
      <c r="N285" s="49" t="s">
        <v>67</v>
      </c>
      <c r="O285">
        <v>2019</v>
      </c>
      <c r="P285">
        <v>0.15029999999999999</v>
      </c>
      <c r="Q285" s="10"/>
      <c r="R285" s="11">
        <f>ROUND(Таб[[#This Row],[Зелений Тариф ЕЦ]]+Таб[[#This Row],[Зелений Тариф ЕЦ]]*Таб[[#This Row],[% надбавки]],4)</f>
        <v>0.15029999999999999</v>
      </c>
      <c r="S285" s="12"/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5.3070000000000004</v>
      </c>
      <c r="AW285">
        <v>5.484</v>
      </c>
      <c r="AX285">
        <v>5.8490000000000002</v>
      </c>
      <c r="AY285">
        <v>5.82</v>
      </c>
      <c r="BD2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497.98653141867982</v>
      </c>
      <c r="BE2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858.6981832087497</v>
      </c>
      <c r="BF2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1448.6880913997954</v>
      </c>
      <c r="BG2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2059.1231944291449</v>
      </c>
      <c r="BH2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2535.204159949642</v>
      </c>
      <c r="BI2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2628.6679077818872</v>
      </c>
      <c r="BJ2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2671.0186685183726</v>
      </c>
      <c r="BK2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2308.8466456684241</v>
      </c>
      <c r="BL2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1621.0118764654969</v>
      </c>
      <c r="BM2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1041.2445656936029</v>
      </c>
      <c r="BN2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481.92244976001268</v>
      </c>
      <c r="BO2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407.44352570619242</v>
      </c>
      <c r="BP285">
        <f>SUM(Таб[[#This Row],[1]:[12]])</f>
        <v>18559.855799999998</v>
      </c>
    </row>
    <row r="286" spans="2:68" ht="76.5">
      <c r="B286" t="s">
        <v>384</v>
      </c>
      <c r="C286" t="str">
        <f>IFERROR(VLOOKUP(Таб[[#This Row],[Зелений Тариф ЕЦ]],Sheet6!$H$9:$I$29,2,FALSE),"")</f>
        <v>Земля</v>
      </c>
      <c r="D286" t="s">
        <v>3365</v>
      </c>
      <c r="E286" t="s">
        <v>3363</v>
      </c>
      <c r="F286" t="s">
        <v>3364</v>
      </c>
      <c r="G286" s="1" t="s">
        <v>756</v>
      </c>
      <c r="H286" t="s">
        <v>73</v>
      </c>
      <c r="I286" t="s">
        <v>3305</v>
      </c>
      <c r="J286" s="7">
        <v>19.292999999999999</v>
      </c>
      <c r="K286" s="8"/>
      <c r="L286" s="8">
        <v>43508</v>
      </c>
      <c r="M286">
        <v>2</v>
      </c>
      <c r="N286" s="49" t="s">
        <v>67</v>
      </c>
      <c r="O286">
        <v>2019</v>
      </c>
      <c r="P286">
        <v>0.15029999999999999</v>
      </c>
      <c r="Q286" s="10"/>
      <c r="R286" s="11">
        <f>ROUND(Таб[[#This Row],[Зелений Тариф ЕЦ]]+Таб[[#This Row],[Зелений Тариф ЕЦ]]*Таб[[#This Row],[% надбавки]],4)</f>
        <v>0.15029999999999999</v>
      </c>
      <c r="S286" s="12"/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BD2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621.25148080572831</v>
      </c>
      <c r="BE2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1071.2488877236603</v>
      </c>
      <c r="BF2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1807.2770350712092</v>
      </c>
      <c r="BG2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2568.8111083169406</v>
      </c>
      <c r="BH2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3162.7348113746166</v>
      </c>
      <c r="BI2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3279.3333297663075</v>
      </c>
      <c r="BJ2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3332.167033412542</v>
      </c>
      <c r="BK2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2880.3477746447397</v>
      </c>
      <c r="BL2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2022.2555533558898</v>
      </c>
      <c r="BM2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1298.9803689574317</v>
      </c>
      <c r="BN2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601.21111045715645</v>
      </c>
      <c r="BO2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508.29666611377763</v>
      </c>
      <c r="BP286">
        <f>SUM(Таб[[#This Row],[1]:[12]])</f>
        <v>23153.91516</v>
      </c>
    </row>
    <row r="287" spans="2:68" ht="63.75">
      <c r="B287" t="s">
        <v>384</v>
      </c>
      <c r="C287" t="str">
        <f>IFERROR(VLOOKUP(Таб[[#This Row],[Зелений Тариф ЕЦ]],Sheet6!$H$9:$I$29,2,FALSE),"")</f>
        <v>Земля</v>
      </c>
      <c r="G287" s="1" t="s">
        <v>760</v>
      </c>
      <c r="H287" t="s">
        <v>198</v>
      </c>
      <c r="I287" t="s">
        <v>653</v>
      </c>
      <c r="J287" s="7">
        <v>0.30199999999999999</v>
      </c>
      <c r="K287" s="8"/>
      <c r="L287" s="8">
        <v>41263</v>
      </c>
      <c r="M287">
        <v>12</v>
      </c>
      <c r="N287" s="49" t="s">
        <v>71</v>
      </c>
      <c r="O287">
        <v>2012</v>
      </c>
      <c r="P287">
        <v>0.46529999999999999</v>
      </c>
      <c r="Q287" s="10"/>
      <c r="R287" s="11">
        <f>ROUND(Таб[[#This Row],[Зелений Тариф ЕЦ]]+Таб[[#This Row],[Зелений Тариф ЕЦ]]*Таб[[#This Row],[% надбавки]],4)</f>
        <v>0.46529999999999999</v>
      </c>
      <c r="S287" s="12"/>
      <c r="T287">
        <v>1.6E-2</v>
      </c>
      <c r="U287">
        <v>2.5000000000000001E-2</v>
      </c>
      <c r="V287">
        <v>4.1000000000000002E-2</v>
      </c>
      <c r="W287">
        <v>6.0999999999999985E-2</v>
      </c>
      <c r="X287">
        <v>7.1000000000000008E-2</v>
      </c>
      <c r="Y287">
        <v>7.3999999999999982E-2</v>
      </c>
      <c r="Z287">
        <v>7.2000000000000008E-2</v>
      </c>
      <c r="AA287">
        <v>7.400000000000001E-2</v>
      </c>
      <c r="AB287">
        <v>4.9999999999999989E-2</v>
      </c>
      <c r="AC287">
        <v>2.300000000000002E-2</v>
      </c>
      <c r="AD287">
        <v>1.100000000000001E-2</v>
      </c>
      <c r="AE287">
        <v>6.0000000000000053E-3</v>
      </c>
      <c r="AF287">
        <v>1.4E-2</v>
      </c>
      <c r="AG287">
        <v>2.1999999999999999E-2</v>
      </c>
      <c r="AH287">
        <v>3.5000000000000003E-2</v>
      </c>
      <c r="AI287">
        <v>6.3E-2</v>
      </c>
      <c r="AJ287">
        <v>6.8000000000000005E-2</v>
      </c>
      <c r="AK287">
        <v>6.0999999999999999E-2</v>
      </c>
      <c r="AL287">
        <v>5.6000000000000001E-2</v>
      </c>
      <c r="AM287">
        <v>6.3E-2</v>
      </c>
      <c r="AN287">
        <v>4.2000000000000003E-2</v>
      </c>
      <c r="AO287">
        <v>3.6999999999999998E-2</v>
      </c>
      <c r="AP287">
        <v>1.0999999999999999E-2</v>
      </c>
      <c r="AQ287">
        <v>5.0000000000000001E-3</v>
      </c>
      <c r="AR287">
        <v>5.0000000000000001E-3</v>
      </c>
      <c r="AS287">
        <v>2.1000000000000001E-2</v>
      </c>
      <c r="AT287">
        <v>3.5999999999999997E-2</v>
      </c>
      <c r="AU287">
        <v>5.1999999999999998E-2</v>
      </c>
      <c r="AV287">
        <v>0.05</v>
      </c>
      <c r="AW287">
        <v>6.3E-2</v>
      </c>
      <c r="AX287">
        <v>5.5E-2</v>
      </c>
      <c r="AY287">
        <v>6.5000000000000002E-2</v>
      </c>
      <c r="BD2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9.7246642410889947</v>
      </c>
      <c r="BE2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16.768629248564011</v>
      </c>
      <c r="BF2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28.289932337713431</v>
      </c>
      <c r="BG2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40.210488504209614</v>
      </c>
      <c r="BH2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49.507381590998506</v>
      </c>
      <c r="BI2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51.332538516012278</v>
      </c>
      <c r="BJ2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52.159562747659137</v>
      </c>
      <c r="BK2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45.087079663230782</v>
      </c>
      <c r="BL2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31.65506541820757</v>
      </c>
      <c r="BM2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20.333388867731525</v>
      </c>
      <c r="BN2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9.4109653946022505</v>
      </c>
      <c r="BO2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7.9565434699819022</v>
      </c>
      <c r="BP287">
        <f>SUM(Таб[[#This Row],[1]:[12]])</f>
        <v>362.43624000000005</v>
      </c>
    </row>
    <row r="288" spans="2:68" ht="38.25">
      <c r="B288" t="s">
        <v>384</v>
      </c>
      <c r="C288" t="str">
        <f>IFERROR(VLOOKUP(Таб[[#This Row],[Зелений Тариф ЕЦ]],Sheet6!$H$9:$I$29,2,FALSE),"")</f>
        <v>Земля</v>
      </c>
      <c r="F288" t="s">
        <v>3287</v>
      </c>
      <c r="G288" s="1" t="s">
        <v>763</v>
      </c>
      <c r="H288" t="s">
        <v>198</v>
      </c>
      <c r="I288" t="s">
        <v>571</v>
      </c>
      <c r="J288" s="7">
        <v>0.51100000000000001</v>
      </c>
      <c r="K288" s="8"/>
      <c r="L288" s="8">
        <v>41730</v>
      </c>
      <c r="M288">
        <v>4</v>
      </c>
      <c r="N288" s="49" t="s">
        <v>57</v>
      </c>
      <c r="O288">
        <v>2014</v>
      </c>
      <c r="P288">
        <v>0.33929999999999999</v>
      </c>
      <c r="Q288" s="10"/>
      <c r="R288" s="11">
        <f>ROUND(Таб[[#This Row],[Зелений Тариф ЕЦ]]+Таб[[#This Row],[Зелений Тариф ЕЦ]]*Таб[[#This Row],[% надбавки]],4)</f>
        <v>0.33929999999999999</v>
      </c>
      <c r="S288" s="12"/>
      <c r="T288">
        <v>2.3E-2</v>
      </c>
      <c r="U288">
        <v>2.1999999999999985E-2</v>
      </c>
      <c r="V288">
        <v>6.0000000000000012E-2</v>
      </c>
      <c r="W288">
        <v>7.0999999999999994E-2</v>
      </c>
      <c r="X288">
        <v>8.0000000000000016E-2</v>
      </c>
      <c r="Y288">
        <v>8.500000000000002E-2</v>
      </c>
      <c r="Z288">
        <v>7.999999999999996E-2</v>
      </c>
      <c r="AA288">
        <v>7.8000000000000014E-2</v>
      </c>
      <c r="AB288">
        <v>6.0000000000000053E-2</v>
      </c>
      <c r="AC288">
        <v>3.3999999999999919E-2</v>
      </c>
      <c r="AD288">
        <v>1.3000000000000012E-2</v>
      </c>
      <c r="AE288">
        <v>1.2000000000000011E-2</v>
      </c>
      <c r="AF288">
        <v>2.3E-2</v>
      </c>
      <c r="AG288">
        <v>2.4E-2</v>
      </c>
      <c r="AH288">
        <v>4.3999999999999997E-2</v>
      </c>
      <c r="AI288">
        <v>0.08</v>
      </c>
      <c r="AJ288">
        <v>8.5000000000000006E-2</v>
      </c>
      <c r="AK288">
        <v>7.0999999999999994E-2</v>
      </c>
      <c r="AL288">
        <v>7.2999999999999995E-2</v>
      </c>
      <c r="AM288">
        <v>8.5000000000000006E-2</v>
      </c>
      <c r="AN288">
        <v>5.6000000000000001E-2</v>
      </c>
      <c r="AO288">
        <v>5.2999999999999999E-2</v>
      </c>
      <c r="AP288">
        <v>1.6E-2</v>
      </c>
      <c r="AQ288">
        <v>1.0999999999999999E-2</v>
      </c>
      <c r="AR288">
        <v>1.4E-2</v>
      </c>
      <c r="AS288">
        <v>2.3E-2</v>
      </c>
      <c r="AT288">
        <v>5.0999999999999997E-2</v>
      </c>
      <c r="AU288">
        <v>6.7000000000000004E-2</v>
      </c>
      <c r="AV288">
        <v>6.5000000000000002E-2</v>
      </c>
      <c r="AW288">
        <v>8.3000000000000004E-2</v>
      </c>
      <c r="AX288">
        <v>0.08</v>
      </c>
      <c r="AY288">
        <v>0.08</v>
      </c>
      <c r="BD2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16.454647109922107</v>
      </c>
      <c r="BE2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28.37340909276891</v>
      </c>
      <c r="BF2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47.868064319773389</v>
      </c>
      <c r="BG2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68.038276906129511</v>
      </c>
      <c r="BH2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83.769112559603428</v>
      </c>
      <c r="BI2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86.857374773782368</v>
      </c>
      <c r="BJ2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88.256743589582186</v>
      </c>
      <c r="BK2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76.289727509638851</v>
      </c>
      <c r="BL2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53.562047777165795</v>
      </c>
      <c r="BM2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34.405171229837123</v>
      </c>
      <c r="BN2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15.923852041860101</v>
      </c>
      <c r="BO2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13.462893089936268</v>
      </c>
      <c r="BP288">
        <f>SUM(Таб[[#This Row],[1]:[12]])</f>
        <v>613.26132000000007</v>
      </c>
    </row>
    <row r="289" spans="2:68" ht="38.25">
      <c r="B289" t="s">
        <v>384</v>
      </c>
      <c r="C289" t="str">
        <f>IFERROR(VLOOKUP(Таб[[#This Row],[Зелений Тариф ЕЦ]],Sheet6!$H$9:$I$29,2,FALSE),"")</f>
        <v>Земля</v>
      </c>
      <c r="F289" t="s">
        <v>3287</v>
      </c>
      <c r="G289" s="1" t="s">
        <v>763</v>
      </c>
      <c r="H289" t="s">
        <v>198</v>
      </c>
      <c r="I289" t="s">
        <v>571</v>
      </c>
      <c r="J289" s="7">
        <v>1.472</v>
      </c>
      <c r="K289" s="8"/>
      <c r="L289" s="8">
        <v>40771</v>
      </c>
      <c r="M289">
        <v>8</v>
      </c>
      <c r="N289" s="49" t="s">
        <v>60</v>
      </c>
      <c r="O289">
        <v>2011</v>
      </c>
      <c r="P289">
        <v>0.46529999999999999</v>
      </c>
      <c r="Q289" s="10"/>
      <c r="R289" s="11">
        <f>ROUND(Таб[[#This Row],[Зелений Тариф ЕЦ]]+Таб[[#This Row],[Зелений Тариф ЕЦ]]*Таб[[#This Row],[% надбавки]],4)</f>
        <v>0.46529999999999999</v>
      </c>
      <c r="S289" s="12"/>
      <c r="T289">
        <v>0.14399999999999999</v>
      </c>
      <c r="U289">
        <v>0.20599999999999999</v>
      </c>
      <c r="V289">
        <v>0.30000000000000004</v>
      </c>
      <c r="W289">
        <v>0.47099999999999997</v>
      </c>
      <c r="X289">
        <v>0.53099999999999992</v>
      </c>
      <c r="Y289">
        <v>0.55200000000000027</v>
      </c>
      <c r="Z289">
        <v>0.53099999999999969</v>
      </c>
      <c r="AA289">
        <v>0.52300000000000013</v>
      </c>
      <c r="AB289">
        <v>0.39599999999999991</v>
      </c>
      <c r="AC289">
        <v>0.22599999999999998</v>
      </c>
      <c r="AD289">
        <v>8.4000000000000075E-2</v>
      </c>
      <c r="AE289">
        <v>7.7999999999999847E-2</v>
      </c>
      <c r="AF289">
        <v>0.15</v>
      </c>
      <c r="AG289">
        <v>0.16200000000000001</v>
      </c>
      <c r="AH289">
        <v>0.29799999999999999</v>
      </c>
      <c r="AI289">
        <v>0.52900000000000003</v>
      </c>
      <c r="AJ289">
        <v>0.55900000000000005</v>
      </c>
      <c r="AK289">
        <v>0.47099999999999997</v>
      </c>
      <c r="AL289">
        <v>0.48399999999999999</v>
      </c>
      <c r="AM289">
        <v>0.55900000000000005</v>
      </c>
      <c r="AN289">
        <v>0.373</v>
      </c>
      <c r="AO289">
        <v>0.35299999999999998</v>
      </c>
      <c r="AP289">
        <v>0.10199999999999999</v>
      </c>
      <c r="AQ289">
        <v>7.5999999999999998E-2</v>
      </c>
      <c r="AR289">
        <v>8.5000000000000006E-2</v>
      </c>
      <c r="AS289">
        <v>0.157</v>
      </c>
      <c r="AT289">
        <v>0.34100000000000003</v>
      </c>
      <c r="AU289">
        <v>0.443</v>
      </c>
      <c r="AV289">
        <v>0.42799999999999999</v>
      </c>
      <c r="AW289">
        <v>0.54</v>
      </c>
      <c r="AX289">
        <v>0.51700000000000002</v>
      </c>
      <c r="AY289">
        <v>0.52200000000000002</v>
      </c>
      <c r="BD2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47.399687956566218</v>
      </c>
      <c r="BE2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81.733186271146437</v>
      </c>
      <c r="BF2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137.89000132819262</v>
      </c>
      <c r="BG2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195.99284462978991</v>
      </c>
      <c r="BH2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241.30750232433707</v>
      </c>
      <c r="BI2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250.20363144228497</v>
      </c>
      <c r="BJ2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254.23468994885513</v>
      </c>
      <c r="BK2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219.76218961680701</v>
      </c>
      <c r="BL2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154.2922393894091</v>
      </c>
      <c r="BM2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99.108438454638417</v>
      </c>
      <c r="BN2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45.870665764418916</v>
      </c>
      <c r="BO2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38.781562873554179</v>
      </c>
      <c r="BP289">
        <f>SUM(Таб[[#This Row],[1]:[12]])</f>
        <v>1766.57664</v>
      </c>
    </row>
    <row r="290" spans="2:68" ht="38.25">
      <c r="B290" t="s">
        <v>384</v>
      </c>
      <c r="C290" t="str">
        <f>IFERROR(VLOOKUP(Таб[[#This Row],[Зелений Тариф ЕЦ]],Sheet6!$H$9:$I$29,2,FALSE),"")</f>
        <v>Земля</v>
      </c>
      <c r="F290" t="s">
        <v>3287</v>
      </c>
      <c r="G290" s="1" t="s">
        <v>763</v>
      </c>
      <c r="H290" t="s">
        <v>198</v>
      </c>
      <c r="J290" s="7">
        <v>1.875</v>
      </c>
      <c r="K290" s="8"/>
      <c r="L290" s="8">
        <v>40808</v>
      </c>
      <c r="M290">
        <v>9</v>
      </c>
      <c r="N290" s="49" t="s">
        <v>60</v>
      </c>
      <c r="O290">
        <v>2011</v>
      </c>
      <c r="P290">
        <v>0.46529999999999999</v>
      </c>
      <c r="Q290" s="10"/>
      <c r="R290" s="11">
        <f>ROUND(Таб[[#This Row],[Зелений Тариф ЕЦ]]+Таб[[#This Row],[Зелений Тариф ЕЦ]]*Таб[[#This Row],[% надбавки]],4)</f>
        <v>0.46529999999999999</v>
      </c>
      <c r="S290" s="12"/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BD2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60.376640569675047</v>
      </c>
      <c r="BE2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104.10986702336928</v>
      </c>
      <c r="BF2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175.641136202691</v>
      </c>
      <c r="BG2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249.65121173971201</v>
      </c>
      <c r="BH2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307.37198835470923</v>
      </c>
      <c r="BI2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318.70367456133454</v>
      </c>
      <c r="BJ2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323.83834487371155</v>
      </c>
      <c r="BK2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279.92806082303878</v>
      </c>
      <c r="BL2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196.5339326461563</v>
      </c>
      <c r="BM2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126.24206664568415</v>
      </c>
      <c r="BN2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58.429007002911327</v>
      </c>
      <c r="BO2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49.399069557006847</v>
      </c>
      <c r="BP290">
        <f>SUM(Таб[[#This Row],[1]:[12]])</f>
        <v>2250.2250000000004</v>
      </c>
    </row>
    <row r="291" spans="2:68" ht="38.25">
      <c r="B291" t="s">
        <v>384</v>
      </c>
      <c r="C291" t="str">
        <f>IFERROR(VLOOKUP(Таб[[#This Row],[Зелений Тариф ЕЦ]],Sheet6!$H$9:$I$29,2,FALSE),"")</f>
        <v>Земля</v>
      </c>
      <c r="F291" t="s">
        <v>3287</v>
      </c>
      <c r="G291" s="1" t="s">
        <v>763</v>
      </c>
      <c r="H291" t="s">
        <v>198</v>
      </c>
      <c r="I291" t="s">
        <v>772</v>
      </c>
      <c r="J291" s="7">
        <v>2.8519999999999999</v>
      </c>
      <c r="K291" s="8"/>
      <c r="L291" s="8">
        <v>43567</v>
      </c>
      <c r="M291">
        <v>4</v>
      </c>
      <c r="N291" s="49" t="s">
        <v>57</v>
      </c>
      <c r="O291">
        <v>2019</v>
      </c>
      <c r="P291">
        <v>0.15029999999999999</v>
      </c>
      <c r="Q291" s="10"/>
      <c r="R291" s="11">
        <f>ROUND(Таб[[#This Row],[Зелений Тариф ЕЦ]]+Таб[[#This Row],[Зелений Тариф ЕЦ]]*Таб[[#This Row],[% надбавки]],4)</f>
        <v>0.15029999999999999</v>
      </c>
      <c r="S291" s="12"/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0.35499999999999998</v>
      </c>
      <c r="AW291">
        <v>0.40200000000000002</v>
      </c>
      <c r="AX291">
        <v>0.38600000000000001</v>
      </c>
      <c r="AY291">
        <v>0.40899999999999997</v>
      </c>
      <c r="BD2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91.836895415847039</v>
      </c>
      <c r="BE2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158.35804840034621</v>
      </c>
      <c r="BF2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267.1618775733732</v>
      </c>
      <c r="BG2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379.73613647021796</v>
      </c>
      <c r="BH2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467.53328575340311</v>
      </c>
      <c r="BI2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484.7695359194272</v>
      </c>
      <c r="BJ2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492.57971177590684</v>
      </c>
      <c r="BK2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425.78924238256343</v>
      </c>
      <c r="BL2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298.94121381698011</v>
      </c>
      <c r="BM2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192.02259950586196</v>
      </c>
      <c r="BN2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88.874414918561655</v>
      </c>
      <c r="BO2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75.139278067511214</v>
      </c>
      <c r="BP291">
        <f>SUM(Таб[[#This Row],[1]:[12]])</f>
        <v>3422.7422399999996</v>
      </c>
    </row>
    <row r="292" spans="2:68" ht="38.25">
      <c r="B292" t="s">
        <v>384</v>
      </c>
      <c r="C292" t="str">
        <f>IFERROR(VLOOKUP(Таб[[#This Row],[Зелений Тариф ЕЦ]],Sheet6!$H$9:$I$29,2,FALSE),"")</f>
        <v>Земля</v>
      </c>
      <c r="G292" s="1" t="s">
        <v>774</v>
      </c>
      <c r="H292" t="s">
        <v>172</v>
      </c>
      <c r="I292" t="s">
        <v>776</v>
      </c>
      <c r="J292" s="7">
        <v>2.222</v>
      </c>
      <c r="K292" s="8"/>
      <c r="L292" s="8">
        <v>43396</v>
      </c>
      <c r="M292">
        <v>10</v>
      </c>
      <c r="N292" s="49" t="s">
        <v>71</v>
      </c>
      <c r="O292">
        <v>2018</v>
      </c>
      <c r="P292">
        <v>0.15029999999999999</v>
      </c>
      <c r="Q292" s="10"/>
      <c r="R292" s="11">
        <f>ROUND(Таб[[#This Row],[Зелений Тариф ЕЦ]]+Таб[[#This Row],[Зелений Тариф ЕЦ]]*Таб[[#This Row],[% надбавки]],4)</f>
        <v>0.15029999999999999</v>
      </c>
      <c r="S292" s="12"/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7.9000000000000001E-2</v>
      </c>
      <c r="AP292">
        <v>6.2E-2</v>
      </c>
      <c r="AQ292">
        <v>1.7000000000000001E-2</v>
      </c>
      <c r="AR292">
        <v>1.7000000000000001E-2</v>
      </c>
      <c r="AS292">
        <v>0.122</v>
      </c>
      <c r="AT292">
        <v>0.20599999999999999</v>
      </c>
      <c r="AU292">
        <v>0.29799999999999999</v>
      </c>
      <c r="AV292">
        <v>0.27500000000000002</v>
      </c>
      <c r="AW292">
        <v>0.38900000000000001</v>
      </c>
      <c r="AX292">
        <v>0.35299999999999998</v>
      </c>
      <c r="AY292">
        <v>0.628</v>
      </c>
      <c r="BD2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71.550344184436227</v>
      </c>
      <c r="BE2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123.37713308049415</v>
      </c>
      <c r="BF2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208.14645580926901</v>
      </c>
      <c r="BG2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295.85332932567474</v>
      </c>
      <c r="BH2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364.2562976662208</v>
      </c>
      <c r="BI2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377.68510126681878</v>
      </c>
      <c r="BJ2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383.77002789833978</v>
      </c>
      <c r="BK2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331.73341394602255</v>
      </c>
      <c r="BL2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232.9058124478716</v>
      </c>
      <c r="BM2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149.60526511291209</v>
      </c>
      <c r="BN2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69.242268565583458</v>
      </c>
      <c r="BO2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58.541190696356907</v>
      </c>
      <c r="BP292">
        <f>SUM(Таб[[#This Row],[1]:[12]])</f>
        <v>2666.6666399999995</v>
      </c>
    </row>
    <row r="293" spans="2:68" ht="38.25">
      <c r="B293" t="s">
        <v>384</v>
      </c>
      <c r="C293" t="str">
        <f>IFERROR(VLOOKUP(Таб[[#This Row],[Зелений Тариф ЕЦ]],Sheet6!$H$9:$I$29,2,FALSE),"")</f>
        <v>Земля</v>
      </c>
      <c r="G293" s="1" t="s">
        <v>774</v>
      </c>
      <c r="H293" t="s">
        <v>172</v>
      </c>
      <c r="I293" t="s">
        <v>776</v>
      </c>
      <c r="J293" s="7">
        <v>2.2629999999999999</v>
      </c>
      <c r="K293" s="8"/>
      <c r="L293" s="8">
        <v>43700</v>
      </c>
      <c r="M293">
        <v>8</v>
      </c>
      <c r="N293" s="49" t="s">
        <v>60</v>
      </c>
      <c r="O293">
        <v>2019</v>
      </c>
      <c r="P293">
        <v>0.15029999999999999</v>
      </c>
      <c r="Q293" s="10"/>
      <c r="R293" s="11">
        <f>ROUND(Таб[[#This Row],[Зелений Тариф ЕЦ]]+Таб[[#This Row],[Зелений Тариф ЕЦ]]*Таб[[#This Row],[% надбавки]],4)</f>
        <v>0.15029999999999999</v>
      </c>
      <c r="S293" s="12"/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BD2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72.870580058226466</v>
      </c>
      <c r="BE2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125.65366883940514</v>
      </c>
      <c r="BF2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211.98714198756784</v>
      </c>
      <c r="BG2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301.3123691557164</v>
      </c>
      <c r="BH2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370.97749847824377</v>
      </c>
      <c r="BI2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384.65408828389332</v>
      </c>
      <c r="BJ2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390.85129303957825</v>
      </c>
      <c r="BK2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337.85450754268629</v>
      </c>
      <c r="BL2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237.20335444173421</v>
      </c>
      <c r="BM2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152.36575830356441</v>
      </c>
      <c r="BN2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70.519916185380453</v>
      </c>
      <c r="BO2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59.621383684003462</v>
      </c>
      <c r="BP293">
        <f>SUM(Таб[[#This Row],[1]:[12]])</f>
        <v>2715.8715599999996</v>
      </c>
    </row>
    <row r="294" spans="2:68" ht="38.25">
      <c r="B294" t="s">
        <v>384</v>
      </c>
      <c r="C294" t="str">
        <f>IFERROR(VLOOKUP(Таб[[#This Row],[Зелений Тариф ЕЦ]],Sheet6!$H$9:$I$29,2,FALSE),"")</f>
        <v>Земля</v>
      </c>
      <c r="D294" t="s">
        <v>3359</v>
      </c>
      <c r="E294" t="s">
        <v>3385</v>
      </c>
      <c r="F294" t="s">
        <v>3287</v>
      </c>
      <c r="G294" s="1" t="s">
        <v>780</v>
      </c>
      <c r="H294" t="s">
        <v>98</v>
      </c>
      <c r="I294" t="s">
        <v>458</v>
      </c>
      <c r="J294" s="7">
        <v>36.753</v>
      </c>
      <c r="K294" s="8"/>
      <c r="L294" s="8">
        <v>43403</v>
      </c>
      <c r="M294">
        <v>10</v>
      </c>
      <c r="N294" s="49" t="s">
        <v>71</v>
      </c>
      <c r="O294">
        <v>2018</v>
      </c>
      <c r="P294">
        <v>0.15029999999999999</v>
      </c>
      <c r="Q294" s="10"/>
      <c r="R294" s="11">
        <f>ROUND(Таб[[#This Row],[Зелений Тариф ЕЦ]]+Таб[[#This Row],[Зелений Тариф ЕЦ]]*Таб[[#This Row],[% надбавки]],4)</f>
        <v>0.15029999999999999</v>
      </c>
      <c r="S294" s="12"/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1.5740000000000001</v>
      </c>
      <c r="AQ294">
        <v>0.45600000000000002</v>
      </c>
      <c r="AR294">
        <v>0.629</v>
      </c>
      <c r="AS294">
        <v>2.5259999999999998</v>
      </c>
      <c r="AT294">
        <v>3.4089999999999998</v>
      </c>
      <c r="AU294">
        <v>4.83</v>
      </c>
      <c r="AV294">
        <v>3.82</v>
      </c>
      <c r="AW294">
        <v>5.8630000000000004</v>
      </c>
      <c r="AX294">
        <v>5.319</v>
      </c>
      <c r="AY294">
        <v>5.5650000000000004</v>
      </c>
      <c r="BD2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1183.4787577905422</v>
      </c>
      <c r="BE2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2040.7199694452752</v>
      </c>
      <c r="BF2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3442.8472953906676</v>
      </c>
      <c r="BG2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4893.5631920371388</v>
      </c>
      <c r="BH2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6024.9827669336682</v>
      </c>
      <c r="BI2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6247.1019472814551</v>
      </c>
      <c r="BJ2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6347.749700876544</v>
      </c>
      <c r="BK2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5487.0378770288771</v>
      </c>
      <c r="BL2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3852.3795341568966</v>
      </c>
      <c r="BM2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2474.5464935620425</v>
      </c>
      <c r="BN2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1145.3020236682669</v>
      </c>
      <c r="BO2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968.30080182862548</v>
      </c>
      <c r="BP294">
        <f>SUM(Таб[[#This Row],[1]:[12]])</f>
        <v>44108.01036</v>
      </c>
    </row>
    <row r="295" spans="2:68" ht="38.25">
      <c r="B295" t="s">
        <v>384</v>
      </c>
      <c r="C295" t="str">
        <f>IFERROR(VLOOKUP(Таб[[#This Row],[Зелений Тариф ЕЦ]],Sheet6!$H$9:$I$29,2,FALSE),"")</f>
        <v>Земля</v>
      </c>
      <c r="D295" t="s">
        <v>3386</v>
      </c>
      <c r="E295" t="s">
        <v>3386</v>
      </c>
      <c r="F295" t="s">
        <v>3287</v>
      </c>
      <c r="G295" s="1" t="s">
        <v>784</v>
      </c>
      <c r="H295" t="s">
        <v>98</v>
      </c>
      <c r="I295" t="s">
        <v>458</v>
      </c>
      <c r="J295" s="7">
        <v>5.94</v>
      </c>
      <c r="K295" s="8"/>
      <c r="L295" s="8">
        <v>43007</v>
      </c>
      <c r="M295">
        <v>9</v>
      </c>
      <c r="N295" s="49" t="s">
        <v>60</v>
      </c>
      <c r="O295">
        <v>2017</v>
      </c>
      <c r="P295">
        <v>0.15029999999999999</v>
      </c>
      <c r="Q295" s="10"/>
      <c r="R295" s="11">
        <f>ROUND(Таб[[#This Row],[Зелений Тариф ЕЦ]]+Таб[[#This Row],[Зелений Тариф ЕЦ]]*Таб[[#This Row],[% надбавки]],4)</f>
        <v>0.15029999999999999</v>
      </c>
      <c r="S295" s="12"/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0.373</v>
      </c>
      <c r="AD295">
        <v>0.18700000000000006</v>
      </c>
      <c r="AE295">
        <v>7.999999999999996E-2</v>
      </c>
      <c r="AF295">
        <v>0.187</v>
      </c>
      <c r="AG295">
        <v>0.16400000000000001</v>
      </c>
      <c r="AH295">
        <v>0.48699999999999999</v>
      </c>
      <c r="AI295">
        <v>0.84599999999999997</v>
      </c>
      <c r="AJ295">
        <v>0.999</v>
      </c>
      <c r="AK295">
        <v>0.79700000000000004</v>
      </c>
      <c r="AL295">
        <v>1.5189999999999999</v>
      </c>
      <c r="AM295">
        <v>1.6319999999999999</v>
      </c>
      <c r="AN295">
        <v>1.36</v>
      </c>
      <c r="AO295">
        <v>0.97799999999999998</v>
      </c>
      <c r="AP295">
        <v>0.46500000000000002</v>
      </c>
      <c r="AQ295">
        <v>0.125</v>
      </c>
      <c r="AR295">
        <v>0.186</v>
      </c>
      <c r="AS295">
        <v>0.75800000000000001</v>
      </c>
      <c r="AT295">
        <v>1.069</v>
      </c>
      <c r="AU295">
        <v>1.5289999999999999</v>
      </c>
      <c r="AV295">
        <v>1.2889999999999999</v>
      </c>
      <c r="AW295">
        <v>1.9159999999999999</v>
      </c>
      <c r="AX295">
        <v>1.72</v>
      </c>
      <c r="AY295">
        <v>1.748</v>
      </c>
      <c r="BD2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191.27319732473055</v>
      </c>
      <c r="BE2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329.82005873003385</v>
      </c>
      <c r="BF2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556.43111949012507</v>
      </c>
      <c r="BG2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790.89503879140784</v>
      </c>
      <c r="BH2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973.75445910771896</v>
      </c>
      <c r="BI2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1009.6532410103077</v>
      </c>
      <c r="BJ2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1025.9198765599183</v>
      </c>
      <c r="BK2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886.81209668738711</v>
      </c>
      <c r="BL2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622.61949862302322</v>
      </c>
      <c r="BM2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399.9348671335274</v>
      </c>
      <c r="BN2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185.10309418522311</v>
      </c>
      <c r="BO2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156.49625235659769</v>
      </c>
      <c r="BP295">
        <f>SUM(Таб[[#This Row],[1]:[12]])</f>
        <v>7128.7128000000002</v>
      </c>
    </row>
    <row r="296" spans="2:68" ht="38.25">
      <c r="B296" t="s">
        <v>384</v>
      </c>
      <c r="C296" t="str">
        <f>IFERROR(VLOOKUP(Таб[[#This Row],[Зелений Тариф ЕЦ]],Sheet6!$H$9:$I$29,2,FALSE),"")</f>
        <v>Земля</v>
      </c>
      <c r="D296" t="s">
        <v>3386</v>
      </c>
      <c r="E296" t="s">
        <v>3386</v>
      </c>
      <c r="F296" t="s">
        <v>3287</v>
      </c>
      <c r="G296" s="1" t="s">
        <v>784</v>
      </c>
      <c r="H296" t="s">
        <v>98</v>
      </c>
      <c r="I296" t="s">
        <v>458</v>
      </c>
      <c r="J296" s="7">
        <v>5.7969999999999997</v>
      </c>
      <c r="K296" s="8"/>
      <c r="L296" s="8">
        <v>43277</v>
      </c>
      <c r="M296">
        <v>6</v>
      </c>
      <c r="N296" s="49" t="s">
        <v>57</v>
      </c>
      <c r="O296">
        <v>2018</v>
      </c>
      <c r="P296">
        <v>0.15029999999999999</v>
      </c>
      <c r="Q296" s="10"/>
      <c r="R296" s="11">
        <f>ROUND(Таб[[#This Row],[Зелений Тариф ЕЦ]]+Таб[[#This Row],[Зелений Тариф ЕЦ]]*Таб[[#This Row],[% надбавки]],4)</f>
        <v>0.15029999999999999</v>
      </c>
      <c r="S296" s="12"/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BD2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186.66847220394996</v>
      </c>
      <c r="BE2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321.87994620505151</v>
      </c>
      <c r="BF2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543.0355555023998</v>
      </c>
      <c r="BG2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771.85497304272565</v>
      </c>
      <c r="BH2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950.31222212919965</v>
      </c>
      <c r="BI2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985.34677409709661</v>
      </c>
      <c r="BJ2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1001.2218054575496</v>
      </c>
      <c r="BK2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865.46291658194991</v>
      </c>
      <c r="BL2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607.63051069320954</v>
      </c>
      <c r="BM2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390.30680551734986</v>
      </c>
      <c r="BN2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180.6469085844677</v>
      </c>
      <c r="BO2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152.72874998504997</v>
      </c>
      <c r="BP296">
        <f>SUM(Таб[[#This Row],[1]:[12]])</f>
        <v>6957.0956399999995</v>
      </c>
    </row>
    <row r="297" spans="2:68" ht="38.25">
      <c r="B297" t="s">
        <v>384</v>
      </c>
      <c r="C297" t="str">
        <f>IFERROR(VLOOKUP(Таб[[#This Row],[Зелений Тариф ЕЦ]],Sheet6!$H$9:$I$29,2,FALSE),"")</f>
        <v>Земля</v>
      </c>
      <c r="G297" s="1" t="s">
        <v>787</v>
      </c>
      <c r="H297" t="s">
        <v>122</v>
      </c>
      <c r="I297" t="s">
        <v>369</v>
      </c>
      <c r="J297" s="7">
        <v>2.4060000000000001</v>
      </c>
      <c r="K297" s="8"/>
      <c r="L297" s="8">
        <v>43340</v>
      </c>
      <c r="M297">
        <v>8</v>
      </c>
      <c r="N297" s="49" t="s">
        <v>60</v>
      </c>
      <c r="O297">
        <v>2018</v>
      </c>
      <c r="P297">
        <v>0.15029999999999999</v>
      </c>
      <c r="Q297" s="10"/>
      <c r="R297" s="11">
        <f>ROUND(Таб[[#This Row],[Зелений Тариф ЕЦ]]+Таб[[#This Row],[Зелений Тариф ЕЦ]]*Таб[[#This Row],[% надбавки]],4)</f>
        <v>0.15029999999999999</v>
      </c>
      <c r="S297" s="12"/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0.24199999999999999</v>
      </c>
      <c r="AU297">
        <v>0.34100000000000003</v>
      </c>
      <c r="AV297">
        <v>0.35</v>
      </c>
      <c r="AW297">
        <v>0.40799999999999997</v>
      </c>
      <c r="AX297">
        <v>0.40699999999999997</v>
      </c>
      <c r="AY297">
        <v>0.36599999999999999</v>
      </c>
      <c r="BD2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77.475305179007023</v>
      </c>
      <c r="BE2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133.59378136438747</v>
      </c>
      <c r="BF2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225.38270597529311</v>
      </c>
      <c r="BG2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320.35243490439848</v>
      </c>
      <c r="BH2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394.41973545676296</v>
      </c>
      <c r="BI2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408.96055519710444</v>
      </c>
      <c r="BJ2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415.54936414194668</v>
      </c>
      <c r="BK2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359.20368764812338</v>
      </c>
      <c r="BL2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252.19234237154774</v>
      </c>
      <c r="BM2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161.99381991974192</v>
      </c>
      <c r="BN2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74.976101786135814</v>
      </c>
      <c r="BO2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63.388886055551197</v>
      </c>
      <c r="BP297">
        <f>SUM(Таб[[#This Row],[1]:[12]])</f>
        <v>2887.4887200000007</v>
      </c>
    </row>
    <row r="298" spans="2:68" ht="38.25">
      <c r="B298" t="s">
        <v>384</v>
      </c>
      <c r="C298" t="str">
        <f>IFERROR(VLOOKUP(Таб[[#This Row],[Зелений Тариф ЕЦ]],Sheet6!$H$9:$I$29,2,FALSE),"")</f>
        <v>Земля</v>
      </c>
      <c r="G298" s="1" t="s">
        <v>787</v>
      </c>
      <c r="H298" t="s">
        <v>122</v>
      </c>
      <c r="I298" t="s">
        <v>790</v>
      </c>
      <c r="J298" s="7">
        <v>6.6820000000000004</v>
      </c>
      <c r="K298" s="8"/>
      <c r="L298" s="8">
        <v>43664</v>
      </c>
      <c r="M298">
        <v>7</v>
      </c>
      <c r="N298" s="49" t="s">
        <v>60</v>
      </c>
      <c r="O298">
        <v>2019</v>
      </c>
      <c r="P298">
        <v>0.15029999999999999</v>
      </c>
      <c r="Q298" s="10"/>
      <c r="R298" s="11">
        <f>ROUND(Таб[[#This Row],[Зелений Тариф ЕЦ]]+Таб[[#This Row],[Зелений Тариф ЕЦ]]*Таб[[#This Row],[% надбавки]],4)</f>
        <v>0.15029999999999999</v>
      </c>
      <c r="S298" s="12"/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BD2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215.16624655283664</v>
      </c>
      <c r="BE2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371.01980344008189</v>
      </c>
      <c r="BF2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625.9381717900701</v>
      </c>
      <c r="BG2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889.69034498386964</v>
      </c>
      <c r="BH2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1095.3918006326226</v>
      </c>
      <c r="BI2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1135.7749084900465</v>
      </c>
      <c r="BJ2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1154.0735042379417</v>
      </c>
      <c r="BK2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997.58896129042432</v>
      </c>
      <c r="BL2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700.39452690219537</v>
      </c>
      <c r="BM2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449.89306097411287</v>
      </c>
      <c r="BN2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208.2253998898419</v>
      </c>
      <c r="BO2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176.04511081595723</v>
      </c>
      <c r="BP298">
        <f>SUM(Таб[[#This Row],[1]:[12]])</f>
        <v>8019.2018400000015</v>
      </c>
    </row>
    <row r="299" spans="2:68" ht="51">
      <c r="B299" t="s">
        <v>384</v>
      </c>
      <c r="C299" t="str">
        <f>IFERROR(VLOOKUP(Таб[[#This Row],[Зелений Тариф ЕЦ]],Sheet6!$H$9:$I$29,2,FALSE),"")</f>
        <v>Земля</v>
      </c>
      <c r="G299" s="1" t="s">
        <v>793</v>
      </c>
      <c r="H299" t="s">
        <v>198</v>
      </c>
      <c r="I299" t="s">
        <v>696</v>
      </c>
      <c r="J299" s="7">
        <v>7.2990000000000004</v>
      </c>
      <c r="K299" s="8"/>
      <c r="L299" s="8">
        <v>42794</v>
      </c>
      <c r="M299">
        <v>2</v>
      </c>
      <c r="N299" s="49" t="s">
        <v>67</v>
      </c>
      <c r="O299">
        <v>2017</v>
      </c>
      <c r="P299">
        <v>0.15989999999999999</v>
      </c>
      <c r="Q299" s="10">
        <v>0.05</v>
      </c>
      <c r="R299" s="11">
        <f>ROUND(Таб[[#This Row],[Зелений Тариф ЕЦ]]+Таб[[#This Row],[Зелений Тариф ЕЦ]]*Таб[[#This Row],[% надбавки]],4)</f>
        <v>0.16789999999999999</v>
      </c>
      <c r="S299" s="12">
        <v>43263</v>
      </c>
      <c r="T299">
        <v>0</v>
      </c>
      <c r="U299">
        <v>0</v>
      </c>
      <c r="V299">
        <v>0.55900000000000005</v>
      </c>
      <c r="W299">
        <v>0.94399999999999984</v>
      </c>
      <c r="X299">
        <v>1.1239999999999999</v>
      </c>
      <c r="Y299">
        <v>1.177</v>
      </c>
      <c r="Z299">
        <v>1.1549999999999998</v>
      </c>
      <c r="AA299">
        <v>1.0880000000000001</v>
      </c>
      <c r="AB299">
        <v>0.78699999999999992</v>
      </c>
      <c r="AC299">
        <v>0.41900000000000048</v>
      </c>
      <c r="AD299">
        <v>0.15899999999999981</v>
      </c>
      <c r="AE299">
        <v>9.4000000000000306E-2</v>
      </c>
      <c r="AF299">
        <v>0.20100000000000001</v>
      </c>
      <c r="AG299">
        <v>0.30099999999999999</v>
      </c>
      <c r="AH299">
        <v>0.61199999999999999</v>
      </c>
      <c r="AI299">
        <v>1.1259999999999999</v>
      </c>
      <c r="AJ299">
        <v>1.226</v>
      </c>
      <c r="AK299">
        <v>1.0329999999999999</v>
      </c>
      <c r="AL299">
        <v>1.0449999999999999</v>
      </c>
      <c r="AM299">
        <v>1.194</v>
      </c>
      <c r="AN299">
        <v>0.78400000000000003</v>
      </c>
      <c r="AO299">
        <v>0.70799999999999996</v>
      </c>
      <c r="AP299">
        <v>0.154</v>
      </c>
      <c r="AQ299">
        <v>6.9000000000000006E-2</v>
      </c>
      <c r="AR299">
        <v>6.7000000000000004E-2</v>
      </c>
      <c r="AS299">
        <v>0.28000000000000003</v>
      </c>
      <c r="AT299">
        <v>0.66800000000000004</v>
      </c>
      <c r="AU299">
        <v>0.96399999999999997</v>
      </c>
      <c r="AV299">
        <v>0.95499999999999996</v>
      </c>
      <c r="AW299">
        <v>1.2350000000000001</v>
      </c>
      <c r="AX299">
        <v>1.101</v>
      </c>
      <c r="AY299">
        <v>1.145</v>
      </c>
      <c r="BD2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235.03418640963099</v>
      </c>
      <c r="BE2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405.27889034857196</v>
      </c>
      <c r="BF2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683.73581500983551</v>
      </c>
      <c r="BG2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971.84223706035095</v>
      </c>
      <c r="BH2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1196.5376762672122</v>
      </c>
      <c r="BI2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1240.649664332363</v>
      </c>
      <c r="BJ2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1260.6379089243844</v>
      </c>
      <c r="BK2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1089.7039551719254</v>
      </c>
      <c r="BL2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765.06729300495726</v>
      </c>
      <c r="BM2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491.43511703831928</v>
      </c>
      <c r="BN2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227.45243846093325</v>
      </c>
      <c r="BO2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192.30069797151626</v>
      </c>
      <c r="BP299">
        <f>SUM(Таб[[#This Row],[1]:[12]])</f>
        <v>8759.6758800000007</v>
      </c>
    </row>
    <row r="300" spans="2:68" ht="38.25">
      <c r="B300" t="s">
        <v>384</v>
      </c>
      <c r="C300" t="str">
        <f>IFERROR(VLOOKUP(Таб[[#This Row],[Зелений Тариф ЕЦ]],Sheet6!$H$9:$I$29,2,FALSE),"")</f>
        <v>Земля</v>
      </c>
      <c r="D300" t="s">
        <v>3362</v>
      </c>
      <c r="F300" t="s">
        <v>3287</v>
      </c>
      <c r="G300" s="1" t="s">
        <v>795</v>
      </c>
      <c r="H300" t="s">
        <v>82</v>
      </c>
      <c r="I300" t="s">
        <v>797</v>
      </c>
      <c r="J300" s="7">
        <v>19.033000000000001</v>
      </c>
      <c r="K300" s="8"/>
      <c r="L300" s="8">
        <v>43553</v>
      </c>
      <c r="M300">
        <v>3</v>
      </c>
      <c r="N300" s="49" t="s">
        <v>67</v>
      </c>
      <c r="O300">
        <v>2019</v>
      </c>
      <c r="P300">
        <v>0.15029999999999999</v>
      </c>
      <c r="Q300" s="10">
        <v>0.05</v>
      </c>
      <c r="R300" s="11">
        <f>ROUND(Таб[[#This Row],[Зелений Тариф ЕЦ]]+Таб[[#This Row],[Зелений Тариф ЕЦ]]*Таб[[#This Row],[% надбавки]],4)</f>
        <v>0.1578</v>
      </c>
      <c r="S300" s="12">
        <v>43596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2.4220000000000002</v>
      </c>
      <c r="AV300">
        <v>2.5710000000000002</v>
      </c>
      <c r="AW300">
        <v>2.9670000000000001</v>
      </c>
      <c r="AX300">
        <v>3.109</v>
      </c>
      <c r="AY300">
        <v>3.0430000000000001</v>
      </c>
      <c r="BD3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612.87925331340011</v>
      </c>
      <c r="BE3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1056.8123194964201</v>
      </c>
      <c r="BF3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1782.9214641844362</v>
      </c>
      <c r="BG3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2534.1928069557007</v>
      </c>
      <c r="BH3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3120.1125623227636</v>
      </c>
      <c r="BI3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3235.1397535604692</v>
      </c>
      <c r="BJ3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3287.2614495900543</v>
      </c>
      <c r="BK3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2841.5310835439454</v>
      </c>
      <c r="BL3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1995.0028480289561</v>
      </c>
      <c r="BM3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1281.4748023825637</v>
      </c>
      <c r="BN3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593.10895481941941</v>
      </c>
      <c r="BO3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501.44666180187278</v>
      </c>
      <c r="BP300">
        <f>SUM(Таб[[#This Row],[1]:[12]])</f>
        <v>22841.883960000003</v>
      </c>
    </row>
    <row r="301" spans="2:68" ht="38.25">
      <c r="B301" t="s">
        <v>384</v>
      </c>
      <c r="C301" t="str">
        <f>IFERROR(VLOOKUP(Таб[[#This Row],[Зелений Тариф ЕЦ]],Sheet6!$H$9:$I$29,2,FALSE),"")</f>
        <v>Земля</v>
      </c>
      <c r="D301" t="s">
        <v>3362</v>
      </c>
      <c r="F301" t="s">
        <v>3287</v>
      </c>
      <c r="G301" s="1" t="s">
        <v>795</v>
      </c>
      <c r="H301" t="s">
        <v>82</v>
      </c>
      <c r="I301" t="s">
        <v>800</v>
      </c>
      <c r="J301" s="7">
        <v>19.998999999999999</v>
      </c>
      <c r="K301" s="8"/>
      <c r="L301" s="8">
        <v>43602</v>
      </c>
      <c r="M301">
        <v>5</v>
      </c>
      <c r="N301" s="49" t="s">
        <v>57</v>
      </c>
      <c r="O301">
        <v>2019</v>
      </c>
      <c r="P301">
        <v>0.15029999999999999</v>
      </c>
      <c r="Q301" s="10">
        <v>0.05</v>
      </c>
      <c r="R301" s="11">
        <f>ROUND(Таб[[#This Row],[Зелений Тариф ЕЦ]]+Таб[[#This Row],[Зелений Тариф ЕЦ]]*Таб[[#This Row],[% надбавки]],4)</f>
        <v>0.1578</v>
      </c>
      <c r="S301" s="12">
        <v>43637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3.052</v>
      </c>
      <c r="AX301">
        <v>3.2690000000000001</v>
      </c>
      <c r="AY301">
        <v>3.117</v>
      </c>
      <c r="BD3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643.98529853489663</v>
      </c>
      <c r="BE3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1110.4497229868596</v>
      </c>
      <c r="BF3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1873.4117775560626</v>
      </c>
      <c r="BG3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2662.8131112440001</v>
      </c>
      <c r="BH3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3278.4706107231095</v>
      </c>
      <c r="BI3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3399.3358866944682</v>
      </c>
      <c r="BJ3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3454.1029648689905</v>
      </c>
      <c r="BK3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2985.7500204799749</v>
      </c>
      <c r="BL3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2096.2571301282555</v>
      </c>
      <c r="BM3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1346.5147151184199</v>
      </c>
      <c r="BN3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623.21157922731925</v>
      </c>
      <c r="BO3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526.8970624376426</v>
      </c>
      <c r="BP301">
        <f>SUM(Таб[[#This Row],[1]:[12]])</f>
        <v>24001.19988</v>
      </c>
    </row>
    <row r="302" spans="2:68" ht="38.25">
      <c r="B302" t="s">
        <v>384</v>
      </c>
      <c r="C302" t="str">
        <f>IFERROR(VLOOKUP(Таб[[#This Row],[Зелений Тариф ЕЦ]],Sheet6!$H$9:$I$29,2,FALSE),"")</f>
        <v>Земля</v>
      </c>
      <c r="D302" s="138"/>
      <c r="E302" s="138"/>
      <c r="F302" s="138" t="s">
        <v>3287</v>
      </c>
      <c r="G302" s="1" t="s">
        <v>802</v>
      </c>
      <c r="H302" t="s">
        <v>122</v>
      </c>
      <c r="J302" s="7">
        <v>5.2450000000000001</v>
      </c>
      <c r="K302" s="8"/>
      <c r="L302" s="8">
        <v>43641</v>
      </c>
      <c r="M302">
        <v>6</v>
      </c>
      <c r="N302" s="49" t="s">
        <v>57</v>
      </c>
      <c r="O302">
        <v>2019</v>
      </c>
      <c r="P302">
        <v>0.15029999999999999</v>
      </c>
      <c r="Q302" s="10"/>
      <c r="R302" s="11">
        <f>ROUND(Таб[[#This Row],[Зелений Тариф ЕЦ]]+Таб[[#This Row],[Зелений Тариф ЕЦ]]*Таб[[#This Row],[% надбавки]],4)</f>
        <v>0.15029999999999999</v>
      </c>
      <c r="S302" s="12"/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0.251</v>
      </c>
      <c r="AY302">
        <v>0.84699999999999998</v>
      </c>
      <c r="BD3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168.89358922023766</v>
      </c>
      <c r="BE3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291.23000135337168</v>
      </c>
      <c r="BF3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491.32680500432764</v>
      </c>
      <c r="BG3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698.35765630655442</v>
      </c>
      <c r="BH3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859.82190875757328</v>
      </c>
      <c r="BI3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891.52041230623979</v>
      </c>
      <c r="BJ3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905.88379672672909</v>
      </c>
      <c r="BK3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783.05209547564721</v>
      </c>
      <c r="BL3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549.77092092218118</v>
      </c>
      <c r="BM3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353.14114109686051</v>
      </c>
      <c r="BN3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163.44540892281063</v>
      </c>
      <c r="BO3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138.18566390746716</v>
      </c>
      <c r="BP302">
        <f>SUM(Таб[[#This Row],[1]:[12]])</f>
        <v>6294.6293999999989</v>
      </c>
    </row>
    <row r="303" spans="2:68" ht="38.25">
      <c r="B303" t="s">
        <v>384</v>
      </c>
      <c r="C303" t="str">
        <f>IFERROR(VLOOKUP(Таб[[#This Row],[Зелений Тариф ЕЦ]],Sheet6!$H$9:$I$29,2,FALSE),"")</f>
        <v>Земля</v>
      </c>
      <c r="D303" s="138"/>
      <c r="E303" s="138"/>
      <c r="F303" s="138" t="s">
        <v>3287</v>
      </c>
      <c r="G303" s="1" t="s">
        <v>804</v>
      </c>
      <c r="H303" t="s">
        <v>122</v>
      </c>
      <c r="J303" s="7">
        <v>3.2069999999999999</v>
      </c>
      <c r="K303" s="8"/>
      <c r="L303" s="8">
        <v>43522</v>
      </c>
      <c r="M303">
        <v>2</v>
      </c>
      <c r="N303" s="49" t="s">
        <v>67</v>
      </c>
      <c r="O303">
        <v>2019</v>
      </c>
      <c r="P303">
        <v>0.15029999999999999</v>
      </c>
      <c r="Q303" s="10"/>
      <c r="R303" s="11">
        <f>ROUND(Таб[[#This Row],[Зелений Тариф ЕЦ]]+Таб[[#This Row],[Зелений Тариф ЕЦ]]*Таб[[#This Row],[% надбавки]],4)</f>
        <v>0.15029999999999999</v>
      </c>
      <c r="S303" s="12"/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0.308</v>
      </c>
      <c r="AU303">
        <v>0.46200000000000002</v>
      </c>
      <c r="AV303">
        <v>0.48899999999999999</v>
      </c>
      <c r="AW303">
        <v>0.55300000000000005</v>
      </c>
      <c r="AX303">
        <v>0.57699999999999996</v>
      </c>
      <c r="AY303">
        <v>0.50600000000000001</v>
      </c>
      <c r="BD3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103.2682060303722</v>
      </c>
      <c r="BE3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178.06951655677079</v>
      </c>
      <c r="BF3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300.41659936108266</v>
      </c>
      <c r="BG3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427.00343255960343</v>
      </c>
      <c r="BH3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525.72904888189464</v>
      </c>
      <c r="BI3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545.11076496970657</v>
      </c>
      <c r="BJ3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553.89310507199616</v>
      </c>
      <c r="BK3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478.78895523172554</v>
      </c>
      <c r="BL3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336.15163839798572</v>
      </c>
      <c r="BM3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215.92443079077819</v>
      </c>
      <c r="BN3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99.93697357777954</v>
      </c>
      <c r="BO3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84.4921685703045</v>
      </c>
      <c r="BP303">
        <f>SUM(Таб[[#This Row],[1]:[12]])</f>
        <v>3848.7848399999998</v>
      </c>
    </row>
    <row r="304" spans="2:68" ht="38.25">
      <c r="B304" t="s">
        <v>384</v>
      </c>
      <c r="C304" t="str">
        <f>IFERROR(VLOOKUP(Таб[[#This Row],[Зелений Тариф ЕЦ]],Sheet6!$H$9:$I$29,2,FALSE),"")</f>
        <v>Земля</v>
      </c>
      <c r="D304" t="s">
        <v>3386</v>
      </c>
      <c r="E304" t="s">
        <v>3386</v>
      </c>
      <c r="F304" t="s">
        <v>3287</v>
      </c>
      <c r="G304" s="1" t="s">
        <v>807</v>
      </c>
      <c r="H304" t="s">
        <v>98</v>
      </c>
      <c r="I304" t="s">
        <v>458</v>
      </c>
      <c r="J304" s="7">
        <v>5.94</v>
      </c>
      <c r="K304" s="8"/>
      <c r="L304" s="8">
        <v>43396</v>
      </c>
      <c r="M304">
        <v>10</v>
      </c>
      <c r="N304" s="49" t="s">
        <v>71</v>
      </c>
      <c r="O304">
        <v>2018</v>
      </c>
      <c r="P304">
        <v>0.15029999999999999</v>
      </c>
      <c r="Q304" s="10"/>
      <c r="R304" s="11">
        <f>ROUND(Таб[[#This Row],[Зелений Тариф ЕЦ]]+Таб[[#This Row],[Зелений Тариф ЕЦ]]*Таб[[#This Row],[% надбавки]],4)</f>
        <v>0.15029999999999999</v>
      </c>
      <c r="S304" s="12"/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0.122</v>
      </c>
      <c r="AR304">
        <v>0.184</v>
      </c>
      <c r="AS304">
        <v>0.76700000000000002</v>
      </c>
      <c r="AT304">
        <v>1.0680000000000001</v>
      </c>
      <c r="AU304">
        <v>1.538</v>
      </c>
      <c r="AV304">
        <v>1.282</v>
      </c>
      <c r="AW304">
        <v>1.929</v>
      </c>
      <c r="AX304">
        <v>1.732</v>
      </c>
      <c r="AY304">
        <v>1.7569999999999999</v>
      </c>
      <c r="BD3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191.27319732473055</v>
      </c>
      <c r="BE3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329.82005873003385</v>
      </c>
      <c r="BF3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556.43111949012507</v>
      </c>
      <c r="BG3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790.89503879140784</v>
      </c>
      <c r="BH3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973.75445910771896</v>
      </c>
      <c r="BI3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1009.6532410103077</v>
      </c>
      <c r="BJ3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1025.9198765599183</v>
      </c>
      <c r="BK3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886.81209668738711</v>
      </c>
      <c r="BL3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622.61949862302322</v>
      </c>
      <c r="BM3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399.9348671335274</v>
      </c>
      <c r="BN3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185.10309418522311</v>
      </c>
      <c r="BO3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156.49625235659769</v>
      </c>
      <c r="BP304">
        <f>SUM(Таб[[#This Row],[1]:[12]])</f>
        <v>7128.7128000000002</v>
      </c>
    </row>
    <row r="305" spans="2:68" ht="38.25">
      <c r="B305" t="s">
        <v>384</v>
      </c>
      <c r="C305" t="str">
        <f>IFERROR(VLOOKUP(Таб[[#This Row],[Зелений Тариф ЕЦ]],Sheet6!$H$9:$I$29,2,FALSE),"")</f>
        <v>Земля</v>
      </c>
      <c r="D305" t="s">
        <v>3386</v>
      </c>
      <c r="E305" t="s">
        <v>3386</v>
      </c>
      <c r="F305" t="s">
        <v>3287</v>
      </c>
      <c r="G305" s="1" t="s">
        <v>807</v>
      </c>
      <c r="H305" t="s">
        <v>98</v>
      </c>
      <c r="I305" t="s">
        <v>458</v>
      </c>
      <c r="J305" s="7">
        <v>5.7969999999999997</v>
      </c>
      <c r="K305" s="8"/>
      <c r="L305" s="8">
        <v>43417</v>
      </c>
      <c r="M305">
        <v>11</v>
      </c>
      <c r="N305" s="49" t="s">
        <v>71</v>
      </c>
      <c r="O305">
        <v>2018</v>
      </c>
      <c r="P305">
        <v>0.15029999999999999</v>
      </c>
      <c r="Q305" s="10"/>
      <c r="R305" s="11">
        <f>ROUND(Таб[[#This Row],[Зелений Тариф ЕЦ]]+Таб[[#This Row],[Зелений Тариф ЕЦ]]*Таб[[#This Row],[% надбавки]],4)</f>
        <v>0.15029999999999999</v>
      </c>
      <c r="S305" s="12"/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BD3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186.66847220394996</v>
      </c>
      <c r="BE3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321.87994620505151</v>
      </c>
      <c r="BF3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543.0355555023998</v>
      </c>
      <c r="BG3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771.85497304272565</v>
      </c>
      <c r="BH3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950.31222212919965</v>
      </c>
      <c r="BI3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985.34677409709661</v>
      </c>
      <c r="BJ3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1001.2218054575496</v>
      </c>
      <c r="BK3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865.46291658194991</v>
      </c>
      <c r="BL3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607.63051069320954</v>
      </c>
      <c r="BM3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390.30680551734986</v>
      </c>
      <c r="BN3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180.6469085844677</v>
      </c>
      <c r="BO3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152.72874998504997</v>
      </c>
      <c r="BP305">
        <f>SUM(Таб[[#This Row],[1]:[12]])</f>
        <v>6957.0956399999995</v>
      </c>
    </row>
    <row r="306" spans="2:68" ht="38.25">
      <c r="B306" t="s">
        <v>384</v>
      </c>
      <c r="C306" t="str">
        <f>IFERROR(VLOOKUP(Таб[[#This Row],[Зелений Тариф ЕЦ]],Sheet6!$H$9:$I$29,2,FALSE),"")</f>
        <v>Земля</v>
      </c>
      <c r="G306" s="1" t="s">
        <v>810</v>
      </c>
      <c r="H306" t="s">
        <v>172</v>
      </c>
      <c r="I306" t="s">
        <v>812</v>
      </c>
      <c r="J306" s="7">
        <v>4.1340000000000003</v>
      </c>
      <c r="K306" s="8"/>
      <c r="L306" s="8">
        <v>43431</v>
      </c>
      <c r="M306">
        <v>11</v>
      </c>
      <c r="N306" s="49" t="s">
        <v>71</v>
      </c>
      <c r="O306">
        <v>2018</v>
      </c>
      <c r="P306">
        <v>0.15029999999999999</v>
      </c>
      <c r="Q306" s="10"/>
      <c r="R306" s="11">
        <f>ROUND(Таб[[#This Row],[Зелений Тариф ЕЦ]]+Таб[[#This Row],[Зелений Тариф ЕЦ]]*Таб[[#This Row],[% надбавки]],4)</f>
        <v>0.15029999999999999</v>
      </c>
      <c r="S306" s="12"/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3.6999999999999998E-2</v>
      </c>
      <c r="AR306">
        <v>4.2999999999999997E-2</v>
      </c>
      <c r="AS306">
        <v>0.222</v>
      </c>
      <c r="AT306">
        <v>0.371</v>
      </c>
      <c r="AU306">
        <v>0.54900000000000004</v>
      </c>
      <c r="AV306">
        <v>0.51300000000000001</v>
      </c>
      <c r="AW306">
        <v>0.70599999999999996</v>
      </c>
      <c r="AX306">
        <v>0.63800000000000001</v>
      </c>
      <c r="AY306">
        <v>0.66800000000000004</v>
      </c>
      <c r="BD3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133.11841712801956</v>
      </c>
      <c r="BE3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229.5414348131246</v>
      </c>
      <c r="BF3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387.25357709969313</v>
      </c>
      <c r="BG3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550.43099164371711</v>
      </c>
      <c r="BH3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677.69375992446305</v>
      </c>
      <c r="BI3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702.67786167283043</v>
      </c>
      <c r="BJ3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713.9987827775592</v>
      </c>
      <c r="BK3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617.18538850263599</v>
      </c>
      <c r="BL3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433.31801469824541</v>
      </c>
      <c r="BM3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278.3385085404044</v>
      </c>
      <c r="BN3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128.8242746400189</v>
      </c>
      <c r="BO3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108.91506855928873</v>
      </c>
      <c r="BP306">
        <f>SUM(Таб[[#This Row],[1]:[12]])</f>
        <v>4961.2960800000001</v>
      </c>
    </row>
    <row r="307" spans="2:68" ht="38.25">
      <c r="B307" t="s">
        <v>384</v>
      </c>
      <c r="C307" t="str">
        <f>IFERROR(VLOOKUP(Таб[[#This Row],[Зелений Тариф ЕЦ]],Sheet6!$H$9:$I$29,2,FALSE),"")</f>
        <v>Земля</v>
      </c>
      <c r="D307" t="s">
        <v>3366</v>
      </c>
      <c r="F307" t="s">
        <v>3287</v>
      </c>
      <c r="G307" s="1" t="s">
        <v>814</v>
      </c>
      <c r="H307" t="s">
        <v>73</v>
      </c>
      <c r="I307" t="s">
        <v>284</v>
      </c>
      <c r="J307" s="7">
        <v>17.702000000000002</v>
      </c>
      <c r="K307" s="8"/>
      <c r="L307" s="8">
        <v>43300</v>
      </c>
      <c r="M307">
        <v>7</v>
      </c>
      <c r="N307" s="49" t="s">
        <v>60</v>
      </c>
      <c r="O307">
        <v>2018</v>
      </c>
      <c r="P307">
        <v>0.15029999999999999</v>
      </c>
      <c r="Q307" s="10">
        <v>0.05</v>
      </c>
      <c r="R307" s="11">
        <f>ROUND(Таб[[#This Row],[Зелений Тариф ЕЦ]]+Таб[[#This Row],[Зелений Тариф ЕЦ]]*Таб[[#This Row],[% надбавки]],4)</f>
        <v>0.1578</v>
      </c>
      <c r="S307" s="12">
        <v>43431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0.39500000000000002</v>
      </c>
      <c r="AQ307">
        <v>0.253</v>
      </c>
      <c r="AR307">
        <v>0.47399999999999998</v>
      </c>
      <c r="AS307">
        <v>0.91700000000000004</v>
      </c>
      <c r="AT307">
        <v>1.8939999999999999</v>
      </c>
      <c r="AU307">
        <v>2.1440000000000001</v>
      </c>
      <c r="AV307">
        <v>2.7170000000000001</v>
      </c>
      <c r="AW307">
        <v>2.766</v>
      </c>
      <c r="AX307">
        <v>2.8290000000000002</v>
      </c>
      <c r="AY307">
        <v>2.9</v>
      </c>
      <c r="BD3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570.01988872767345</v>
      </c>
      <c r="BE3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982.90819522543086</v>
      </c>
      <c r="BF3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1658.2396762986859</v>
      </c>
      <c r="BG3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2356.9737334487372</v>
      </c>
      <c r="BH3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2901.9194335227007</v>
      </c>
      <c r="BI3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3008.9026384451968</v>
      </c>
      <c r="BJ3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3057.3794031757025</v>
      </c>
      <c r="BK3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2642.8194841010309</v>
      </c>
      <c r="BL3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1855.489960374538</v>
      </c>
      <c r="BM3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1191.8597673396807</v>
      </c>
      <c r="BN3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551.63215038161945</v>
      </c>
      <c r="BO3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466.37990895900555</v>
      </c>
      <c r="BP307">
        <f>SUM(Таб[[#This Row],[1]:[12]])</f>
        <v>21244.524239999999</v>
      </c>
    </row>
    <row r="308" spans="2:68" ht="38.25">
      <c r="B308" t="s">
        <v>384</v>
      </c>
      <c r="C308" t="str">
        <f>IFERROR(VLOOKUP(Таб[[#This Row],[Зелений Тариф ЕЦ]],Sheet6!$H$9:$I$29,2,FALSE),"")</f>
        <v>Земля</v>
      </c>
      <c r="D308" t="s">
        <v>3366</v>
      </c>
      <c r="F308" t="s">
        <v>3287</v>
      </c>
      <c r="G308" s="1" t="s">
        <v>814</v>
      </c>
      <c r="H308" t="s">
        <v>73</v>
      </c>
      <c r="I308" t="s">
        <v>284</v>
      </c>
      <c r="J308" s="7">
        <v>11.478</v>
      </c>
      <c r="K308" s="8"/>
      <c r="L308" s="8">
        <v>43312</v>
      </c>
      <c r="M308">
        <v>7</v>
      </c>
      <c r="N308" s="49" t="s">
        <v>60</v>
      </c>
      <c r="O308">
        <v>2018</v>
      </c>
      <c r="P308">
        <v>0.15029999999999999</v>
      </c>
      <c r="Q308" s="10">
        <v>0.05</v>
      </c>
      <c r="R308" s="11">
        <f>ROUND(Таб[[#This Row],[Зелений Тариф ЕЦ]]+Таб[[#This Row],[Зелений Тариф ЕЦ]]*Таб[[#This Row],[% надбавки]],4)</f>
        <v>0.1578</v>
      </c>
      <c r="S308" s="12">
        <v>43371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1.242</v>
      </c>
      <c r="AP308">
        <v>0.44</v>
      </c>
      <c r="AQ308">
        <v>0.13300000000000001</v>
      </c>
      <c r="AR308">
        <v>0.26400000000000001</v>
      </c>
      <c r="AS308">
        <v>0.59799999999999998</v>
      </c>
      <c r="AT308">
        <v>1.548</v>
      </c>
      <c r="AU308">
        <v>1.7889999999999999</v>
      </c>
      <c r="AV308">
        <v>1.8320000000000001</v>
      </c>
      <c r="AW308">
        <v>1.8169999999999999</v>
      </c>
      <c r="AX308">
        <v>1.9139999999999999</v>
      </c>
      <c r="AY308">
        <v>1.621</v>
      </c>
      <c r="BD3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369.60164291132276</v>
      </c>
      <c r="BE3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637.31896197025731</v>
      </c>
      <c r="BF3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1075.2047793783931</v>
      </c>
      <c r="BG3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1528.2648577858211</v>
      </c>
      <c r="BH3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1881.608363912188</v>
      </c>
      <c r="BI3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1950.9764141946653</v>
      </c>
      <c r="BJ3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1982.4088119789126</v>
      </c>
      <c r="BK3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1713.6076171343143</v>
      </c>
      <c r="BL3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1203.1021220867101</v>
      </c>
      <c r="BM3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772.80343517822007</v>
      </c>
      <c r="BN3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357.679009269022</v>
      </c>
      <c r="BO3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302.40134420017313</v>
      </c>
      <c r="BP308">
        <f>SUM(Таб[[#This Row],[1]:[12]])</f>
        <v>13774.977359999999</v>
      </c>
    </row>
    <row r="309" spans="2:68" ht="38.25">
      <c r="B309" t="s">
        <v>384</v>
      </c>
      <c r="C309" t="str">
        <f>IFERROR(VLOOKUP(Таб[[#This Row],[Зелений Тариф ЕЦ]],Sheet6!$H$9:$I$29,2,FALSE),"")</f>
        <v>Земля</v>
      </c>
      <c r="G309" s="1" t="s">
        <v>820</v>
      </c>
      <c r="H309" t="s">
        <v>122</v>
      </c>
      <c r="I309" t="s">
        <v>821</v>
      </c>
      <c r="J309" s="7">
        <v>1.4830000000000001</v>
      </c>
      <c r="K309" s="8"/>
      <c r="L309" s="8">
        <v>42285</v>
      </c>
      <c r="M309">
        <v>10</v>
      </c>
      <c r="N309" s="49" t="s">
        <v>71</v>
      </c>
      <c r="O309">
        <v>2015</v>
      </c>
      <c r="P309">
        <v>0.30530000000000002</v>
      </c>
      <c r="Q309" s="10"/>
      <c r="R309" s="11">
        <f>ROUND(Таб[[#This Row],[Зелений Тариф ЕЦ]]+Таб[[#This Row],[Зелений Тариф ЕЦ]]*Таб[[#This Row],[% надбавки]],4)</f>
        <v>0.30530000000000002</v>
      </c>
      <c r="S309" s="12"/>
      <c r="T309">
        <v>5.8999999999999997E-2</v>
      </c>
      <c r="U309">
        <v>8.4999999999999992E-2</v>
      </c>
      <c r="V309">
        <v>0.17100000000000001</v>
      </c>
      <c r="W309">
        <v>0.188</v>
      </c>
      <c r="X309">
        <v>0.25</v>
      </c>
      <c r="Y309">
        <v>0.25199999999999989</v>
      </c>
      <c r="Z309">
        <v>0.23400000000000021</v>
      </c>
      <c r="AA309">
        <v>0.22899999999999987</v>
      </c>
      <c r="AB309">
        <v>0.20500000000000007</v>
      </c>
      <c r="AC309">
        <v>8.0999999999999961E-2</v>
      </c>
      <c r="AD309">
        <v>3.8000000000000034E-2</v>
      </c>
      <c r="AE309">
        <v>2.2999999999999909E-2</v>
      </c>
      <c r="AF309">
        <v>3.5999999999999997E-2</v>
      </c>
      <c r="AG309">
        <v>6.0999999999999999E-2</v>
      </c>
      <c r="AH309">
        <v>0.13400000000000001</v>
      </c>
      <c r="AI309">
        <v>0.224</v>
      </c>
      <c r="AJ309">
        <v>0.254</v>
      </c>
      <c r="AK309">
        <v>0.24</v>
      </c>
      <c r="AL309">
        <v>0.22600000000000001</v>
      </c>
      <c r="AM309">
        <v>0.25800000000000001</v>
      </c>
      <c r="AN309">
        <v>0.16600000000000001</v>
      </c>
      <c r="AO309">
        <v>0.153</v>
      </c>
      <c r="AP309">
        <v>6.8000000000000005E-2</v>
      </c>
      <c r="AQ309">
        <v>1.2999999999999999E-2</v>
      </c>
      <c r="AR309">
        <v>3.7999999999999999E-2</v>
      </c>
      <c r="AS309">
        <v>6.5000000000000002E-2</v>
      </c>
      <c r="AT309">
        <v>0.155</v>
      </c>
      <c r="AU309">
        <v>0.20799999999999999</v>
      </c>
      <c r="AV309">
        <v>0.223</v>
      </c>
      <c r="AW309">
        <v>0.25</v>
      </c>
      <c r="AX309">
        <v>0.251</v>
      </c>
      <c r="AY309">
        <v>0.22800000000000001</v>
      </c>
      <c r="BD3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47.753897581241645</v>
      </c>
      <c r="BE3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82.34396415768353</v>
      </c>
      <c r="BF3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138.92042932724843</v>
      </c>
      <c r="BG3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197.45746507199624</v>
      </c>
      <c r="BH3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243.11075132268473</v>
      </c>
      <c r="BI3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252.07335966637817</v>
      </c>
      <c r="BJ3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256.1345415721143</v>
      </c>
      <c r="BK3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221.40443424030218</v>
      </c>
      <c r="BL3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155.44523846093324</v>
      </c>
      <c r="BM3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99.849058578959799</v>
      </c>
      <c r="BN3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46.213449272169342</v>
      </c>
      <c r="BO3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39.071370748288622</v>
      </c>
      <c r="BP309">
        <f>SUM(Таб[[#This Row],[1]:[12]])</f>
        <v>1779.7779600000003</v>
      </c>
    </row>
    <row r="310" spans="2:68" ht="38.25">
      <c r="B310" t="s">
        <v>384</v>
      </c>
      <c r="C310" t="str">
        <f>IFERROR(VLOOKUP(Таб[[#This Row],[Зелений Тариф ЕЦ]],Sheet6!$H$9:$I$29,2,FALSE),"")</f>
        <v>Земля</v>
      </c>
      <c r="G310" s="1" t="s">
        <v>820</v>
      </c>
      <c r="H310" t="s">
        <v>122</v>
      </c>
      <c r="I310" t="s">
        <v>369</v>
      </c>
      <c r="J310" s="7">
        <v>1.0029999999999999</v>
      </c>
      <c r="K310" s="8"/>
      <c r="L310" s="8">
        <v>42999</v>
      </c>
      <c r="M310">
        <v>9</v>
      </c>
      <c r="N310" s="49" t="s">
        <v>60</v>
      </c>
      <c r="O310">
        <v>2017</v>
      </c>
      <c r="P310">
        <v>0.15029999999999999</v>
      </c>
      <c r="Q310" s="10"/>
      <c r="R310" s="11">
        <f>ROUND(Таб[[#This Row],[Зелений Тариф ЕЦ]]+Таб[[#This Row],[Зелений Тариф ЕЦ]]*Таб[[#This Row],[% надбавки]],4)</f>
        <v>0.15029999999999999</v>
      </c>
      <c r="S310" s="12"/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0.02</v>
      </c>
      <c r="AG310">
        <v>4.2999999999999997E-2</v>
      </c>
      <c r="AH310">
        <v>9.1999999999999998E-2</v>
      </c>
      <c r="AI310">
        <v>0.153</v>
      </c>
      <c r="AJ310">
        <v>0.17299999999999999</v>
      </c>
      <c r="AK310">
        <v>0.16</v>
      </c>
      <c r="AL310">
        <v>0.155</v>
      </c>
      <c r="AM310">
        <v>0.17499999999999999</v>
      </c>
      <c r="AN310">
        <v>0.112</v>
      </c>
      <c r="AO310">
        <v>0.104</v>
      </c>
      <c r="AP310">
        <v>4.5999999999999999E-2</v>
      </c>
      <c r="AQ310">
        <v>1.2E-2</v>
      </c>
      <c r="AR310">
        <v>2.5000000000000001E-2</v>
      </c>
      <c r="AS310">
        <v>4.8000000000000001E-2</v>
      </c>
      <c r="AT310">
        <v>0.112</v>
      </c>
      <c r="AU310">
        <v>0.151</v>
      </c>
      <c r="AV310">
        <v>0.161</v>
      </c>
      <c r="AW310">
        <v>0.18</v>
      </c>
      <c r="AX310">
        <v>0.18099999999999999</v>
      </c>
      <c r="AY310">
        <v>0.16400000000000001</v>
      </c>
      <c r="BD3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32.297477595404835</v>
      </c>
      <c r="BE3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55.691838199700996</v>
      </c>
      <c r="BF3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93.956298459359502</v>
      </c>
      <c r="BG3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133.54675486662993</v>
      </c>
      <c r="BH3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164.42352230387914</v>
      </c>
      <c r="BI3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170.48521897867653</v>
      </c>
      <c r="BJ3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173.23192528444406</v>
      </c>
      <c r="BK3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149.74285066960419</v>
      </c>
      <c r="BL3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105.13255170351718</v>
      </c>
      <c r="BM3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67.53108951766464</v>
      </c>
      <c r="BN3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31.255623479424031</v>
      </c>
      <c r="BO3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26.425208941694859</v>
      </c>
      <c r="BP310">
        <f>SUM(Таб[[#This Row],[1]:[12]])</f>
        <v>1203.72036</v>
      </c>
    </row>
    <row r="311" spans="2:68" ht="38.25">
      <c r="B311" t="s">
        <v>384</v>
      </c>
      <c r="C311" t="str">
        <f>IFERROR(VLOOKUP(Таб[[#This Row],[Зелений Тариф ЕЦ]],Sheet6!$H$9:$I$29,2,FALSE),"")</f>
        <v>Земля</v>
      </c>
      <c r="G311" s="1" t="s">
        <v>820</v>
      </c>
      <c r="H311" t="s">
        <v>122</v>
      </c>
      <c r="I311" t="s">
        <v>369</v>
      </c>
      <c r="J311" s="7">
        <v>1.4970000000000001</v>
      </c>
      <c r="K311" s="8"/>
      <c r="L311" s="8">
        <v>43692</v>
      </c>
      <c r="M311">
        <v>8</v>
      </c>
      <c r="N311" s="49" t="s">
        <v>60</v>
      </c>
      <c r="O311">
        <v>2019</v>
      </c>
      <c r="P311">
        <v>0.15029999999999999</v>
      </c>
      <c r="Q311" s="10"/>
      <c r="R311" s="11">
        <f>ROUND(Таб[[#This Row],[Зелений Тариф ЕЦ]]+Таб[[#This Row],[Зелений Тариф ЕЦ]]*Таб[[#This Row],[% надбавки]],4)</f>
        <v>0.15029999999999999</v>
      </c>
      <c r="S311" s="12"/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BD3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48.204709830828548</v>
      </c>
      <c r="BE3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83.121317831458029</v>
      </c>
      <c r="BF3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140.2318831442285</v>
      </c>
      <c r="BG3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199.32152745298612</v>
      </c>
      <c r="BH3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245.40579550239988</v>
      </c>
      <c r="BI3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254.45301376976946</v>
      </c>
      <c r="BJ3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258.55253454717132</v>
      </c>
      <c r="BK3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223.49456376111419</v>
      </c>
      <c r="BL3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156.91269182469119</v>
      </c>
      <c r="BM3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100.79166600991422</v>
      </c>
      <c r="BN3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46.649719191124404</v>
      </c>
      <c r="BO3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39.440217134314274</v>
      </c>
      <c r="BP311">
        <f>SUM(Таб[[#This Row],[1]:[12]])</f>
        <v>1796.5796400000002</v>
      </c>
    </row>
    <row r="312" spans="2:68" ht="25.5">
      <c r="B312" t="s">
        <v>384</v>
      </c>
      <c r="C312" t="str">
        <f>IFERROR(VLOOKUP(Таб[[#This Row],[Зелений Тариф ЕЦ]],Sheet6!$H$9:$I$29,2,FALSE),"")</f>
        <v>Земля</v>
      </c>
      <c r="G312" s="1" t="s">
        <v>826</v>
      </c>
      <c r="H312" t="s">
        <v>65</v>
      </c>
      <c r="I312" t="s">
        <v>247</v>
      </c>
      <c r="J312" s="7">
        <v>2.7410000000000001</v>
      </c>
      <c r="K312" s="8"/>
      <c r="L312" s="8">
        <v>43613</v>
      </c>
      <c r="M312">
        <v>5</v>
      </c>
      <c r="N312" s="49" t="s">
        <v>57</v>
      </c>
      <c r="O312">
        <v>2019</v>
      </c>
      <c r="P312">
        <v>0.15029999999999999</v>
      </c>
      <c r="Q312" s="10"/>
      <c r="R312" s="11">
        <f>ROUND(Таб[[#This Row],[Зелений Тариф ЕЦ]]+Таб[[#This Row],[Зелений Тариф ЕЦ]]*Таб[[#This Row],[% надбавки]],4)</f>
        <v>0.15029999999999999</v>
      </c>
      <c r="S312" s="12"/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0.41599999999999998</v>
      </c>
      <c r="AX312">
        <v>0.42699999999999999</v>
      </c>
      <c r="AY312">
        <v>0.40500000000000003</v>
      </c>
      <c r="BD3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88.262598294122299</v>
      </c>
      <c r="BE3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152.19474427256276</v>
      </c>
      <c r="BF3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256.76392231017388</v>
      </c>
      <c r="BG3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364.95678473522696</v>
      </c>
      <c r="BH3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449.33686404280428</v>
      </c>
      <c r="BI3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465.90227838539613</v>
      </c>
      <c r="BJ3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473.40848175938322</v>
      </c>
      <c r="BK3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409.21750118183968</v>
      </c>
      <c r="BL3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287.3064050043277</v>
      </c>
      <c r="BM3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184.54906916043748</v>
      </c>
      <c r="BN3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85.41541770398932</v>
      </c>
      <c r="BO3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72.214853149736413</v>
      </c>
      <c r="BP312">
        <f>SUM(Таб[[#This Row],[1]:[12]])</f>
        <v>3289.5289200000007</v>
      </c>
    </row>
    <row r="313" spans="2:68" ht="25.5">
      <c r="B313" t="s">
        <v>384</v>
      </c>
      <c r="C313" t="str">
        <f>IFERROR(VLOOKUP(Таб[[#This Row],[Зелений Тариф ЕЦ]],Sheet6!$H$9:$I$29,2,FALSE),"")</f>
        <v>Земля</v>
      </c>
      <c r="G313" s="1" t="s">
        <v>829</v>
      </c>
      <c r="H313" t="s">
        <v>65</v>
      </c>
      <c r="I313" t="s">
        <v>247</v>
      </c>
      <c r="J313" s="7">
        <v>7.1109999999999998</v>
      </c>
      <c r="K313" s="8"/>
      <c r="L313" s="8">
        <v>43596</v>
      </c>
      <c r="M313">
        <v>5</v>
      </c>
      <c r="N313" s="49" t="s">
        <v>57</v>
      </c>
      <c r="O313">
        <v>2019</v>
      </c>
      <c r="P313">
        <v>0.15029999999999999</v>
      </c>
      <c r="Q313" s="10"/>
      <c r="R313" s="11">
        <f>ROUND(Таб[[#This Row],[Зелений Тариф ЕЦ]]+Таб[[#This Row],[Зелений Тариф ЕЦ]]*Таб[[#This Row],[% надбавки]],4)</f>
        <v>0.15029999999999999</v>
      </c>
      <c r="S313" s="12"/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1.0680000000000001</v>
      </c>
      <c r="AX313">
        <v>1.101</v>
      </c>
      <c r="AY313">
        <v>1.0389999999999999</v>
      </c>
      <c r="BD3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228.98042191517825</v>
      </c>
      <c r="BE3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394.84014101502873</v>
      </c>
      <c r="BF3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666.12486375324568</v>
      </c>
      <c r="BG3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946.81054222991577</v>
      </c>
      <c r="BH3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1165.71851156818</v>
      </c>
      <c r="BI3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1208.6943092296797</v>
      </c>
      <c r="BJ3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1228.1677175450468</v>
      </c>
      <c r="BK3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1061.6365016067352</v>
      </c>
      <c r="BL3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745.36149069163594</v>
      </c>
      <c r="BM3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478.77724582264534</v>
      </c>
      <c r="BN3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221.59395669210798</v>
      </c>
      <c r="BO3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187.34761793060036</v>
      </c>
      <c r="BP313">
        <f>SUM(Таб[[#This Row],[1]:[12]])</f>
        <v>8534.0533199999991</v>
      </c>
    </row>
    <row r="314" spans="2:68" ht="25.5">
      <c r="B314" t="s">
        <v>384</v>
      </c>
      <c r="C314" t="str">
        <f>IFERROR(VLOOKUP(Таб[[#This Row],[Зелений Тариф ЕЦ]],Sheet6!$H$9:$I$29,2,FALSE),"")</f>
        <v>Земля</v>
      </c>
      <c r="E314" t="s">
        <v>3400</v>
      </c>
      <c r="F314" t="s">
        <v>3287</v>
      </c>
      <c r="G314" s="1" t="s">
        <v>831</v>
      </c>
      <c r="H314" t="s">
        <v>122</v>
      </c>
      <c r="J314" s="7">
        <v>17.82</v>
      </c>
      <c r="K314" s="8"/>
      <c r="L314" s="8">
        <v>43602</v>
      </c>
      <c r="M314">
        <v>5</v>
      </c>
      <c r="N314" s="49" t="s">
        <v>57</v>
      </c>
      <c r="O314">
        <v>2019</v>
      </c>
      <c r="P314">
        <v>0.15029999999999999</v>
      </c>
      <c r="Q314" s="10"/>
      <c r="R314" s="11">
        <f>ROUND(Таб[[#This Row],[Зелений Тариф ЕЦ]]+Таб[[#This Row],[Зелений Тариф ЕЦ]]*Таб[[#This Row],[% надбавки]],4)</f>
        <v>0.15029999999999999</v>
      </c>
      <c r="S314" s="12"/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2.7189999999999999</v>
      </c>
      <c r="AX314">
        <v>3.0920000000000001</v>
      </c>
      <c r="AY314">
        <v>2.7749999999999999</v>
      </c>
      <c r="BD3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573.81959197419167</v>
      </c>
      <c r="BE3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989.46017619010149</v>
      </c>
      <c r="BF3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1669.2933584703751</v>
      </c>
      <c r="BG3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2372.6851163742231</v>
      </c>
      <c r="BH3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2921.2633773231569</v>
      </c>
      <c r="BI3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3028.9597230309232</v>
      </c>
      <c r="BJ3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3077.7596296797547</v>
      </c>
      <c r="BK3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2660.4362900621609</v>
      </c>
      <c r="BL3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1867.8584958690694</v>
      </c>
      <c r="BM3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1199.8046014005822</v>
      </c>
      <c r="BN3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555.30928255566937</v>
      </c>
      <c r="BO3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469.48875706979311</v>
      </c>
      <c r="BP314">
        <f>SUM(Таб[[#This Row],[1]:[12]])</f>
        <v>21386.138400000003</v>
      </c>
    </row>
    <row r="315" spans="2:68" ht="38.25">
      <c r="B315" t="s">
        <v>384</v>
      </c>
      <c r="C315" t="str">
        <f>IFERROR(VLOOKUP(Таб[[#This Row],[Зелений Тариф ЕЦ]],Sheet6!$H$9:$I$29,2,FALSE),"")</f>
        <v>Земля</v>
      </c>
      <c r="D315" s="138"/>
      <c r="E315" s="138"/>
      <c r="F315" s="138" t="s">
        <v>3287</v>
      </c>
      <c r="G315" s="1" t="s">
        <v>835</v>
      </c>
      <c r="H315" t="s">
        <v>233</v>
      </c>
      <c r="I315" t="s">
        <v>289</v>
      </c>
      <c r="J315" s="7">
        <v>6.8040000000000003</v>
      </c>
      <c r="K315" s="8"/>
      <c r="L315" s="8">
        <v>42719</v>
      </c>
      <c r="M315">
        <v>12</v>
      </c>
      <c r="N315" s="49" t="s">
        <v>71</v>
      </c>
      <c r="O315">
        <v>2016</v>
      </c>
      <c r="P315">
        <v>0.15989999999999999</v>
      </c>
      <c r="Q315" s="10"/>
      <c r="R315" s="11">
        <f>ROUND(Таб[[#This Row],[Зелений Тариф ЕЦ]]+Таб[[#This Row],[Зелений Тариф ЕЦ]]*Таб[[#This Row],[% надбавки]],4)</f>
        <v>0.15989999999999999</v>
      </c>
      <c r="S315" s="12"/>
      <c r="T315">
        <v>0</v>
      </c>
      <c r="U315">
        <v>0</v>
      </c>
      <c r="V315">
        <v>0.77300000000000002</v>
      </c>
      <c r="W315">
        <v>0.77700000000000002</v>
      </c>
      <c r="X315">
        <v>1.1129999999999998</v>
      </c>
      <c r="Y315">
        <v>1.024</v>
      </c>
      <c r="Z315">
        <v>1.1350000000000002</v>
      </c>
      <c r="AA315">
        <v>1.1040000000000001</v>
      </c>
      <c r="AB315">
        <v>0.73499999999999943</v>
      </c>
      <c r="AC315">
        <v>0.57200000000000006</v>
      </c>
      <c r="AD315">
        <v>0.29800000000000004</v>
      </c>
      <c r="AE315">
        <v>0.1120000000000001</v>
      </c>
      <c r="AF315">
        <v>0.22700000000000001</v>
      </c>
      <c r="AG315">
        <v>0.34799999999999998</v>
      </c>
      <c r="AH315">
        <v>0.497</v>
      </c>
      <c r="AI315">
        <v>0.98199999999999998</v>
      </c>
      <c r="AJ315">
        <v>1.1240000000000001</v>
      </c>
      <c r="AK315">
        <v>0.98599999999999999</v>
      </c>
      <c r="AL315">
        <v>1.03</v>
      </c>
      <c r="AM315">
        <v>1.113</v>
      </c>
      <c r="AN315">
        <v>0.90900000000000003</v>
      </c>
      <c r="AO315">
        <v>0.66400000000000003</v>
      </c>
      <c r="AP315">
        <v>0.34599999999999997</v>
      </c>
      <c r="AQ315">
        <v>9.8000000000000004E-2</v>
      </c>
      <c r="AR315">
        <v>0.14799999999999999</v>
      </c>
      <c r="AS315">
        <v>0.495</v>
      </c>
      <c r="AT315">
        <v>0.82399999999999995</v>
      </c>
      <c r="AU315">
        <v>0.92600000000000005</v>
      </c>
      <c r="AV315">
        <v>0.79300000000000004</v>
      </c>
      <c r="AW315">
        <v>1.133</v>
      </c>
      <c r="AX315">
        <v>1.054</v>
      </c>
      <c r="AY315">
        <v>1.0580000000000001</v>
      </c>
      <c r="BD3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219.0947532992368</v>
      </c>
      <c r="BE3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377.79388545440247</v>
      </c>
      <c r="BF3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637.36655505232511</v>
      </c>
      <c r="BG3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905.93431716106716</v>
      </c>
      <c r="BH3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1115.3914713415688</v>
      </c>
      <c r="BI3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1156.5118942481706</v>
      </c>
      <c r="BJ3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1175.1445858777245</v>
      </c>
      <c r="BK3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1015.8029471146432</v>
      </c>
      <c r="BL3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713.18233478637194</v>
      </c>
      <c r="BM3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458.10721144385872</v>
      </c>
      <c r="BN3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212.02718061216464</v>
      </c>
      <c r="BO3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179.25934360846645</v>
      </c>
      <c r="BP315">
        <f>SUM(Таб[[#This Row],[1]:[12]])</f>
        <v>8165.6164799999988</v>
      </c>
    </row>
    <row r="316" spans="2:68" ht="38.25">
      <c r="B316" t="s">
        <v>384</v>
      </c>
      <c r="C316" t="str">
        <f>IFERROR(VLOOKUP(Таб[[#This Row],[Зелений Тариф ЕЦ]],Sheet6!$H$9:$I$29,2,FALSE),"")</f>
        <v>Земля</v>
      </c>
      <c r="D316" s="138"/>
      <c r="E316" s="138"/>
      <c r="F316" s="138" t="s">
        <v>3287</v>
      </c>
      <c r="G316" s="1" t="s">
        <v>835</v>
      </c>
      <c r="H316" t="s">
        <v>233</v>
      </c>
      <c r="I316" t="s">
        <v>289</v>
      </c>
      <c r="J316" s="7">
        <v>2.2679999999999998</v>
      </c>
      <c r="K316" s="8"/>
      <c r="L316" s="8">
        <v>42850</v>
      </c>
      <c r="M316">
        <v>4</v>
      </c>
      <c r="N316" s="49" t="s">
        <v>57</v>
      </c>
      <c r="O316">
        <v>2017</v>
      </c>
      <c r="P316">
        <v>0.15029999999999999</v>
      </c>
      <c r="Q316" s="10"/>
      <c r="R316" s="11">
        <f>ROUND(Таб[[#This Row],[Зелений Тариф ЕЦ]]+Таб[[#This Row],[Зелений Тариф ЕЦ]]*Таб[[#This Row],[% надбавки]],4)</f>
        <v>0.15029999999999999</v>
      </c>
      <c r="S316" s="12"/>
      <c r="T316">
        <v>0</v>
      </c>
      <c r="U316">
        <v>0</v>
      </c>
      <c r="V316">
        <v>0</v>
      </c>
      <c r="W316">
        <v>0</v>
      </c>
      <c r="X316">
        <v>0.373</v>
      </c>
      <c r="Y316">
        <v>0.35599999999999998</v>
      </c>
      <c r="Z316">
        <v>1.1469999999999998</v>
      </c>
      <c r="AA316">
        <v>1.149</v>
      </c>
      <c r="AB316">
        <v>0.80699999999999994</v>
      </c>
      <c r="AC316">
        <v>0.76799999999999979</v>
      </c>
      <c r="AD316">
        <v>0.42600000000000016</v>
      </c>
      <c r="AE316">
        <v>0.14700000000000024</v>
      </c>
      <c r="AF316">
        <v>0.41499999999999998</v>
      </c>
      <c r="AG316">
        <v>0.59799999999999998</v>
      </c>
      <c r="AH316">
        <v>0.89600000000000002</v>
      </c>
      <c r="AI316">
        <v>2.1240000000000001</v>
      </c>
      <c r="AJ316">
        <v>2.4209999999999998</v>
      </c>
      <c r="AK316">
        <v>2.1379999999999999</v>
      </c>
      <c r="AL316">
        <v>2.2210000000000001</v>
      </c>
      <c r="AM316">
        <v>2.395</v>
      </c>
      <c r="AN316">
        <v>1.958</v>
      </c>
      <c r="AO316">
        <v>1.4419999999999999</v>
      </c>
      <c r="AP316">
        <v>0.76200000000000001</v>
      </c>
      <c r="AQ316">
        <v>0.219</v>
      </c>
      <c r="AR316">
        <v>0.38300000000000001</v>
      </c>
      <c r="AS316">
        <v>1.0649999999999999</v>
      </c>
      <c r="AT316">
        <v>1.778</v>
      </c>
      <c r="AU316">
        <v>2.0019999999999998</v>
      </c>
      <c r="AV316">
        <v>1.706</v>
      </c>
      <c r="AW316">
        <v>2.4449999999999998</v>
      </c>
      <c r="AX316">
        <v>2.2810000000000001</v>
      </c>
      <c r="AY316">
        <v>2.31</v>
      </c>
      <c r="BD3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73.031584433078933</v>
      </c>
      <c r="BE3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125.93129515146745</v>
      </c>
      <c r="BF3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212.45551835077504</v>
      </c>
      <c r="BG3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301.97810572035564</v>
      </c>
      <c r="BH3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371.79715711385626</v>
      </c>
      <c r="BI3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385.50396474939015</v>
      </c>
      <c r="BJ3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391.71486195924149</v>
      </c>
      <c r="BK3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338.60098237154773</v>
      </c>
      <c r="BL3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237.72744492879059</v>
      </c>
      <c r="BM3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152.70240381461954</v>
      </c>
      <c r="BN3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70.675726870721547</v>
      </c>
      <c r="BO3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59.753114536155479</v>
      </c>
      <c r="BP316">
        <f>SUM(Таб[[#This Row],[1]:[12]])</f>
        <v>2721.8721599999999</v>
      </c>
    </row>
    <row r="317" spans="2:68" ht="38.25">
      <c r="B317" t="s">
        <v>384</v>
      </c>
      <c r="C317" t="str">
        <f>IFERROR(VLOOKUP(Таб[[#This Row],[Зелений Тариф ЕЦ]],Sheet6!$H$9:$I$29,2,FALSE),"")</f>
        <v>Земля</v>
      </c>
      <c r="D317" s="138"/>
      <c r="E317" s="138"/>
      <c r="F317" s="138" t="s">
        <v>3287</v>
      </c>
      <c r="G317" s="1" t="s">
        <v>835</v>
      </c>
      <c r="H317" t="s">
        <v>233</v>
      </c>
      <c r="I317" t="s">
        <v>289</v>
      </c>
      <c r="J317" s="7">
        <v>4.5359999999999996</v>
      </c>
      <c r="K317" s="8"/>
      <c r="L317" s="8">
        <v>42905</v>
      </c>
      <c r="M317">
        <v>6</v>
      </c>
      <c r="N317" s="49" t="s">
        <v>57</v>
      </c>
      <c r="O317">
        <v>2017</v>
      </c>
      <c r="P317">
        <v>0.15029999999999999</v>
      </c>
      <c r="Q317" s="10"/>
      <c r="R317" s="11">
        <f>ROUND(Таб[[#This Row],[Зелений Тариф ЕЦ]]+Таб[[#This Row],[Зелений Тариф ЕЦ]]*Таб[[#This Row],[% надбавки]],4)</f>
        <v>0.15029999999999999</v>
      </c>
      <c r="S317" s="12"/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BD3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146.06316886615787</v>
      </c>
      <c r="BE3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251.8625903029349</v>
      </c>
      <c r="BF3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424.91103670155007</v>
      </c>
      <c r="BG3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603.95621144071129</v>
      </c>
      <c r="BH3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743.59431422771252</v>
      </c>
      <c r="BI3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771.0079294987803</v>
      </c>
      <c r="BJ3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783.42972391848298</v>
      </c>
      <c r="BK3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677.20196474309546</v>
      </c>
      <c r="BL3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475.45488985758118</v>
      </c>
      <c r="BM3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305.40480762923909</v>
      </c>
      <c r="BN3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141.35145374144309</v>
      </c>
      <c r="BO3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119.50622907231096</v>
      </c>
      <c r="BP317">
        <f>SUM(Таб[[#This Row],[1]:[12]])</f>
        <v>5443.7443199999998</v>
      </c>
    </row>
    <row r="318" spans="2:68" ht="38.25">
      <c r="B318" t="s">
        <v>384</v>
      </c>
      <c r="C318" t="str">
        <f>IFERROR(VLOOKUP(Таб[[#This Row],[Зелений Тариф ЕЦ]],Sheet6!$H$9:$I$29,2,FALSE),"")</f>
        <v>Земля</v>
      </c>
      <c r="D318" s="138"/>
      <c r="E318" s="138"/>
      <c r="F318" s="138" t="s">
        <v>3287</v>
      </c>
      <c r="G318" s="1" t="s">
        <v>835</v>
      </c>
      <c r="H318" t="s">
        <v>233</v>
      </c>
      <c r="I318" t="s">
        <v>289</v>
      </c>
      <c r="J318" s="7">
        <v>2.2679999999999998</v>
      </c>
      <c r="K318" s="8"/>
      <c r="L318" s="8">
        <v>42999</v>
      </c>
      <c r="M318">
        <v>9</v>
      </c>
      <c r="N318" s="49" t="s">
        <v>60</v>
      </c>
      <c r="O318">
        <v>2017</v>
      </c>
      <c r="P318">
        <v>0.15029999999999999</v>
      </c>
      <c r="Q318" s="10"/>
      <c r="R318" s="11">
        <f>ROUND(Таб[[#This Row],[Зелений Тариф ЕЦ]]+Таб[[#This Row],[Зелений Тариф ЕЦ]]*Таб[[#This Row],[% надбавки]],4)</f>
        <v>0.15029999999999999</v>
      </c>
      <c r="S318" s="12"/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BD3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73.031584433078933</v>
      </c>
      <c r="BE3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125.93129515146745</v>
      </c>
      <c r="BF3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212.45551835077504</v>
      </c>
      <c r="BG3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301.97810572035564</v>
      </c>
      <c r="BH3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371.79715711385626</v>
      </c>
      <c r="BI3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385.50396474939015</v>
      </c>
      <c r="BJ3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391.71486195924149</v>
      </c>
      <c r="BK3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338.60098237154773</v>
      </c>
      <c r="BL3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237.72744492879059</v>
      </c>
      <c r="BM3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152.70240381461954</v>
      </c>
      <c r="BN3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70.675726870721547</v>
      </c>
      <c r="BO3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59.753114536155479</v>
      </c>
      <c r="BP318">
        <f>SUM(Таб[[#This Row],[1]:[12]])</f>
        <v>2721.8721599999999</v>
      </c>
    </row>
    <row r="319" spans="2:68" ht="38.25">
      <c r="B319" t="s">
        <v>384</v>
      </c>
      <c r="C319" t="str">
        <f>IFERROR(VLOOKUP(Таб[[#This Row],[Зелений Тариф ЕЦ]],Sheet6!$H$9:$I$29,2,FALSE),"")</f>
        <v>Земля</v>
      </c>
      <c r="D319" s="138"/>
      <c r="E319" s="138"/>
      <c r="F319" s="138" t="s">
        <v>3287</v>
      </c>
      <c r="G319" s="1" t="s">
        <v>835</v>
      </c>
      <c r="H319" t="s">
        <v>233</v>
      </c>
      <c r="I319" t="s">
        <v>289</v>
      </c>
      <c r="J319" s="7">
        <v>2.2679999999999998</v>
      </c>
      <c r="K319" s="8"/>
      <c r="L319" s="8">
        <v>43096</v>
      </c>
      <c r="M319">
        <v>12</v>
      </c>
      <c r="N319" s="49" t="s">
        <v>71</v>
      </c>
      <c r="O319">
        <v>2017</v>
      </c>
      <c r="P319">
        <v>0.15029999999999999</v>
      </c>
      <c r="Q319" s="10"/>
      <c r="R319" s="11">
        <f>ROUND(Таб[[#This Row],[Зелений Тариф ЕЦ]]+Таб[[#This Row],[Зелений Тариф ЕЦ]]*Таб[[#This Row],[% надбавки]],4)</f>
        <v>0.15029999999999999</v>
      </c>
      <c r="S319" s="12"/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BD3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73.031584433078933</v>
      </c>
      <c r="BE3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125.93129515146745</v>
      </c>
      <c r="BF3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212.45551835077504</v>
      </c>
      <c r="BG3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301.97810572035564</v>
      </c>
      <c r="BH3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371.79715711385626</v>
      </c>
      <c r="BI3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385.50396474939015</v>
      </c>
      <c r="BJ3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391.71486195924149</v>
      </c>
      <c r="BK3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338.60098237154773</v>
      </c>
      <c r="BL3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237.72744492879059</v>
      </c>
      <c r="BM3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152.70240381461954</v>
      </c>
      <c r="BN3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70.675726870721547</v>
      </c>
      <c r="BO3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59.753114536155479</v>
      </c>
      <c r="BP319">
        <f>SUM(Таб[[#This Row],[1]:[12]])</f>
        <v>2721.8721599999999</v>
      </c>
    </row>
    <row r="320" spans="2:68" ht="38.25">
      <c r="B320" t="s">
        <v>384</v>
      </c>
      <c r="C320" t="str">
        <f>IFERROR(VLOOKUP(Таб[[#This Row],[Зелений Тариф ЕЦ]],Sheet6!$H$9:$I$29,2,FALSE),"")</f>
        <v>Земля</v>
      </c>
      <c r="D320" s="138"/>
      <c r="E320" s="138"/>
      <c r="F320" s="138" t="s">
        <v>3287</v>
      </c>
      <c r="G320" s="1" t="s">
        <v>835</v>
      </c>
      <c r="H320" t="s">
        <v>233</v>
      </c>
      <c r="I320" t="s">
        <v>289</v>
      </c>
      <c r="J320" s="7">
        <v>3.3340000000000001</v>
      </c>
      <c r="K320" s="8"/>
      <c r="L320" s="8">
        <v>43182</v>
      </c>
      <c r="M320">
        <v>3</v>
      </c>
      <c r="N320" s="49" t="s">
        <v>67</v>
      </c>
      <c r="O320">
        <v>2018</v>
      </c>
      <c r="P320">
        <v>0.15029999999999999</v>
      </c>
      <c r="Q320" s="10"/>
      <c r="R320" s="11">
        <f>ROUND(Таб[[#This Row],[Зелений Тариф ЕЦ]]+Таб[[#This Row],[Зелений Тариф ЕЦ]]*Таб[[#This Row],[% надбавки]],4)</f>
        <v>0.15029999999999999</v>
      </c>
      <c r="S320" s="12"/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BD3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107.35771715162485</v>
      </c>
      <c r="BE3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185.12122488315367</v>
      </c>
      <c r="BF3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312.31335898654498</v>
      </c>
      <c r="BG3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443.91314130143996</v>
      </c>
      <c r="BH3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546.54837822645368</v>
      </c>
      <c r="BI3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566.69762719332755</v>
      </c>
      <c r="BJ3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575.8277556314423</v>
      </c>
      <c r="BK3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497.74941588480601</v>
      </c>
      <c r="BL3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349.46353676921871</v>
      </c>
      <c r="BM3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224.47522677157917</v>
      </c>
      <c r="BN3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103.8945649854434</v>
      </c>
      <c r="BO3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87.838132214965782</v>
      </c>
      <c r="BP320">
        <f>SUM(Таб[[#This Row],[1]:[12]])</f>
        <v>4001.2000799999996</v>
      </c>
    </row>
    <row r="321" spans="2:68" ht="38.25">
      <c r="B321" t="s">
        <v>384</v>
      </c>
      <c r="C321" t="str">
        <f>IFERROR(VLOOKUP(Таб[[#This Row],[Зелений Тариф ЕЦ]],Sheet6!$H$9:$I$29,2,FALSE),"")</f>
        <v>Земля</v>
      </c>
      <c r="G321" s="1" t="s">
        <v>845</v>
      </c>
      <c r="H321" t="s">
        <v>198</v>
      </c>
      <c r="I321" t="s">
        <v>516</v>
      </c>
      <c r="J321" s="7">
        <v>1</v>
      </c>
      <c r="K321" s="8"/>
      <c r="L321" s="8">
        <v>41270</v>
      </c>
      <c r="M321">
        <v>12</v>
      </c>
      <c r="N321" s="49" t="s">
        <v>71</v>
      </c>
      <c r="O321">
        <v>2012</v>
      </c>
      <c r="P321">
        <v>0.46529999999999999</v>
      </c>
      <c r="Q321" s="10"/>
      <c r="R321" s="11">
        <f>ROUND(Таб[[#This Row],[Зелений Тариф ЕЦ]]+Таб[[#This Row],[Зелений Тариф ЕЦ]]*Таб[[#This Row],[% надбавки]],4)</f>
        <v>0.46529999999999999</v>
      </c>
      <c r="S321" s="12"/>
      <c r="T321">
        <v>3.7999999999999999E-2</v>
      </c>
      <c r="U321">
        <v>5.2999999999999999E-2</v>
      </c>
      <c r="V321">
        <v>0.10800000000000001</v>
      </c>
      <c r="W321">
        <v>0.14400000000000002</v>
      </c>
      <c r="X321">
        <v>0.15899999999999997</v>
      </c>
      <c r="Y321">
        <v>0.17000000000000004</v>
      </c>
      <c r="Z321">
        <v>0.15699999999999992</v>
      </c>
      <c r="AA321">
        <v>0.15700000000000003</v>
      </c>
      <c r="AB321">
        <v>0.1160000000000001</v>
      </c>
      <c r="AC321">
        <v>6.999999999999984E-2</v>
      </c>
      <c r="AD321">
        <v>2.6000000000000023E-2</v>
      </c>
      <c r="AE321">
        <v>1.8000000000000016E-2</v>
      </c>
      <c r="AF321">
        <v>3.3000000000000002E-2</v>
      </c>
      <c r="AG321">
        <v>4.3999999999999997E-2</v>
      </c>
      <c r="AH321">
        <v>8.5999999999999993E-2</v>
      </c>
      <c r="AI321">
        <v>0.159</v>
      </c>
      <c r="AJ321">
        <v>0.16700000000000001</v>
      </c>
      <c r="AK321">
        <v>0.14099999999999999</v>
      </c>
      <c r="AL321">
        <v>0.14599999999999999</v>
      </c>
      <c r="AM321">
        <v>0.16400000000000001</v>
      </c>
      <c r="AN321">
        <v>0.113</v>
      </c>
      <c r="AO321">
        <v>0.107</v>
      </c>
      <c r="AP321">
        <v>2.3E-2</v>
      </c>
      <c r="AQ321">
        <v>1.0999999999999999E-2</v>
      </c>
      <c r="AR321">
        <v>1.4999999999999999E-2</v>
      </c>
      <c r="AS321">
        <v>4.7E-2</v>
      </c>
      <c r="AT321">
        <v>0.105</v>
      </c>
      <c r="AU321">
        <v>0.1</v>
      </c>
      <c r="AV321">
        <v>0.127</v>
      </c>
      <c r="AW321">
        <v>0.14899999999999999</v>
      </c>
      <c r="AX321">
        <v>0.154</v>
      </c>
      <c r="AY321">
        <v>0.151</v>
      </c>
      <c r="BD3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32.200874970493359</v>
      </c>
      <c r="BE3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55.525262412463604</v>
      </c>
      <c r="BF3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93.6752726414352</v>
      </c>
      <c r="BG3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133.14731292784643</v>
      </c>
      <c r="BH3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163.9317271225116</v>
      </c>
      <c r="BI3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169.9752930993784</v>
      </c>
      <c r="BJ3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172.71378393264615</v>
      </c>
      <c r="BK3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149.29496577228736</v>
      </c>
      <c r="BL3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104.81809741128336</v>
      </c>
      <c r="BM3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67.32910221103154</v>
      </c>
      <c r="BN3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31.162137068219373</v>
      </c>
      <c r="BO3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26.346170430403653</v>
      </c>
      <c r="BP321">
        <f>SUM(Таб[[#This Row],[1]:[12]])</f>
        <v>1200.1200000000001</v>
      </c>
    </row>
    <row r="322" spans="2:68" ht="38.25">
      <c r="B322" t="s">
        <v>384</v>
      </c>
      <c r="C322" t="str">
        <f>IFERROR(VLOOKUP(Таб[[#This Row],[Зелений Тариф ЕЦ]],Sheet6!$H$9:$I$29,2,FALSE),"")</f>
        <v>Земля</v>
      </c>
      <c r="G322" s="1" t="s">
        <v>848</v>
      </c>
      <c r="H322" t="s">
        <v>198</v>
      </c>
      <c r="I322" t="s">
        <v>516</v>
      </c>
      <c r="J322" s="7">
        <v>0.5</v>
      </c>
      <c r="K322" s="8"/>
      <c r="L322" s="8">
        <v>42698</v>
      </c>
      <c r="M322">
        <v>11</v>
      </c>
      <c r="N322" s="49" t="s">
        <v>71</v>
      </c>
      <c r="O322">
        <v>2016</v>
      </c>
      <c r="P322">
        <v>0.15989999999999999</v>
      </c>
      <c r="Q322" s="10"/>
      <c r="R322" s="11">
        <f>ROUND(Таб[[#This Row],[Зелений Тариф ЕЦ]]+Таб[[#This Row],[Зелений Тариф ЕЦ]]*Таб[[#This Row],[% надбавки]],4)</f>
        <v>0.15989999999999999</v>
      </c>
      <c r="S322" s="12"/>
      <c r="T322">
        <v>0</v>
      </c>
      <c r="U322">
        <v>0</v>
      </c>
      <c r="V322">
        <v>0.05</v>
      </c>
      <c r="W322">
        <v>6.9999999999999993E-2</v>
      </c>
      <c r="X322">
        <v>7.400000000000001E-2</v>
      </c>
      <c r="Y322">
        <v>7.9000000000000015E-2</v>
      </c>
      <c r="Z322">
        <v>7.999999999999996E-2</v>
      </c>
      <c r="AA322">
        <v>7.9000000000000015E-2</v>
      </c>
      <c r="AB322">
        <v>7.0000000000000007E-2</v>
      </c>
      <c r="AC322">
        <v>4.500000000000004E-2</v>
      </c>
      <c r="AD322">
        <v>1.3000000000000012E-2</v>
      </c>
      <c r="AE322">
        <v>1.19999999999999E-2</v>
      </c>
      <c r="AF322">
        <v>2.5000000000000001E-2</v>
      </c>
      <c r="AG322">
        <v>2.8000000000000001E-2</v>
      </c>
      <c r="AH322">
        <v>5.5E-2</v>
      </c>
      <c r="AI322">
        <v>9.8000000000000004E-2</v>
      </c>
      <c r="AJ322">
        <v>0.10100000000000001</v>
      </c>
      <c r="AK322">
        <v>8.2000000000000003E-2</v>
      </c>
      <c r="AL322">
        <v>9.0999999999999998E-2</v>
      </c>
      <c r="AM322">
        <v>0.10199999999999999</v>
      </c>
      <c r="AN322">
        <v>7.0000000000000007E-2</v>
      </c>
      <c r="AO322">
        <v>5.8000000000000003E-2</v>
      </c>
      <c r="AP322">
        <v>4.9000000000000002E-2</v>
      </c>
      <c r="AQ322">
        <v>1.7000000000000001E-2</v>
      </c>
      <c r="AR322">
        <v>1.2999999999999999E-2</v>
      </c>
      <c r="AS322">
        <v>2.5000000000000001E-2</v>
      </c>
      <c r="AT322">
        <v>0.06</v>
      </c>
      <c r="AU322">
        <v>7.5999999999999998E-2</v>
      </c>
      <c r="AV322">
        <v>7.6999999999999999E-2</v>
      </c>
      <c r="AW322">
        <v>9.9000000000000005E-2</v>
      </c>
      <c r="AX322">
        <v>7.0999999999999994E-2</v>
      </c>
      <c r="AY322">
        <v>9.6000000000000002E-2</v>
      </c>
      <c r="BD3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16.10043748524668</v>
      </c>
      <c r="BE3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27.762631206231802</v>
      </c>
      <c r="BF3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46.8376363207176</v>
      </c>
      <c r="BG3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66.573656463923214</v>
      </c>
      <c r="BH3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81.965863561255802</v>
      </c>
      <c r="BI3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84.987646549689202</v>
      </c>
      <c r="BJ3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86.356891966323076</v>
      </c>
      <c r="BK3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74.647482886143678</v>
      </c>
      <c r="BL3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52.40904870564168</v>
      </c>
      <c r="BM3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33.66455110551577</v>
      </c>
      <c r="BN3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15.581068534109686</v>
      </c>
      <c r="BO3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13.173085215201827</v>
      </c>
      <c r="BP322">
        <f>SUM(Таб[[#This Row],[1]:[12]])</f>
        <v>600.06000000000006</v>
      </c>
    </row>
    <row r="323" spans="2:68" ht="38.25">
      <c r="B323" t="s">
        <v>384</v>
      </c>
      <c r="C323" t="str">
        <f>IFERROR(VLOOKUP(Таб[[#This Row],[Зелений Тариф ЕЦ]],Sheet6!$H$9:$I$29,2,FALSE),"")</f>
        <v>Земля</v>
      </c>
      <c r="G323" s="1" t="s">
        <v>848</v>
      </c>
      <c r="H323" t="s">
        <v>198</v>
      </c>
      <c r="I323" t="s">
        <v>516</v>
      </c>
      <c r="J323" s="7">
        <v>1.296</v>
      </c>
      <c r="K323" s="8"/>
      <c r="L323" s="8">
        <v>43403</v>
      </c>
      <c r="M323">
        <v>10</v>
      </c>
      <c r="N323" s="49" t="s">
        <v>71</v>
      </c>
      <c r="O323">
        <v>2018</v>
      </c>
      <c r="P323">
        <v>0.15029999999999999</v>
      </c>
      <c r="Q323" s="10"/>
      <c r="R323" s="11">
        <f>ROUND(Таб[[#This Row],[Зелений Тариф ЕЦ]]+Таб[[#This Row],[Зелений Тариф ЕЦ]]*Таб[[#This Row],[% надбавки]],4)</f>
        <v>0.15029999999999999</v>
      </c>
      <c r="S323" s="12"/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2.5999999999999999E-2</v>
      </c>
      <c r="AS323">
        <v>5.3999999999999999E-2</v>
      </c>
      <c r="AT323">
        <v>0.129</v>
      </c>
      <c r="AU323">
        <v>0.16500000000000001</v>
      </c>
      <c r="AV323">
        <v>0.16200000000000001</v>
      </c>
      <c r="AW323">
        <v>0.20899999999999999</v>
      </c>
      <c r="AX323">
        <v>0.151</v>
      </c>
      <c r="AY323">
        <v>0.20399999999999999</v>
      </c>
      <c r="BD3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41.732333961759394</v>
      </c>
      <c r="BE3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71.960740086552832</v>
      </c>
      <c r="BF3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121.40315334330003</v>
      </c>
      <c r="BG3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172.55891755448894</v>
      </c>
      <c r="BH3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212.45551835077504</v>
      </c>
      <c r="BI3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220.28797985679441</v>
      </c>
      <c r="BJ3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223.83706397670943</v>
      </c>
      <c r="BK3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193.48627564088446</v>
      </c>
      <c r="BL3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135.84425424502322</v>
      </c>
      <c r="BM3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87.258516465496896</v>
      </c>
      <c r="BN3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40.386129640412314</v>
      </c>
      <c r="BO3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34.14463687780313</v>
      </c>
      <c r="BP323">
        <f>SUM(Таб[[#This Row],[1]:[12]])</f>
        <v>1555.3555200000003</v>
      </c>
    </row>
    <row r="324" spans="2:68" ht="38.25">
      <c r="B324" t="s">
        <v>384</v>
      </c>
      <c r="C324" t="str">
        <f>IFERROR(VLOOKUP(Таб[[#This Row],[Зелений Тариф ЕЦ]],Sheet6!$H$9:$I$29,2,FALSE),"")</f>
        <v>Земля</v>
      </c>
      <c r="G324" s="1" t="s">
        <v>853</v>
      </c>
      <c r="H324" t="s">
        <v>65</v>
      </c>
      <c r="I324" t="s">
        <v>854</v>
      </c>
      <c r="J324" s="7">
        <v>1.3819999999999999</v>
      </c>
      <c r="K324" s="8"/>
      <c r="L324" s="8">
        <v>43605</v>
      </c>
      <c r="M324">
        <v>5</v>
      </c>
      <c r="N324" s="49" t="s">
        <v>57</v>
      </c>
      <c r="O324">
        <v>2019</v>
      </c>
      <c r="P324">
        <v>0.15029999999999999</v>
      </c>
      <c r="Q324" s="10"/>
      <c r="R324" s="11">
        <f>ROUND(Таб[[#This Row],[Зелений Тариф ЕЦ]]+Таб[[#This Row],[Зелений Тариф ЕЦ]]*Таб[[#This Row],[% надбавки]],4)</f>
        <v>0.15029999999999999</v>
      </c>
      <c r="S324" s="12"/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0.16500000000000001</v>
      </c>
      <c r="AW324">
        <v>0.221</v>
      </c>
      <c r="AX324">
        <v>0.219</v>
      </c>
      <c r="AY324">
        <v>0.21</v>
      </c>
      <c r="BD3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44.501609209221819</v>
      </c>
      <c r="BE3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76.735912654024702</v>
      </c>
      <c r="BF3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129.45922679046345</v>
      </c>
      <c r="BG3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184.00958646628368</v>
      </c>
      <c r="BH3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226.55364688331099</v>
      </c>
      <c r="BI3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234.90585506334091</v>
      </c>
      <c r="BJ3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238.69044939491698</v>
      </c>
      <c r="BK3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206.32564269730108</v>
      </c>
      <c r="BL3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144.8586106223936</v>
      </c>
      <c r="BM3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93.048819255645597</v>
      </c>
      <c r="BN3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43.066073428279175</v>
      </c>
      <c r="BO3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36.410407534817843</v>
      </c>
      <c r="BP324">
        <f>SUM(Таб[[#This Row],[1]:[12]])</f>
        <v>1658.5658399999998</v>
      </c>
    </row>
    <row r="325" spans="2:68" ht="51">
      <c r="B325" t="s">
        <v>384</v>
      </c>
      <c r="C325" t="str">
        <f>IFERROR(VLOOKUP(Таб[[#This Row],[Зелений Тариф ЕЦ]],Sheet6!$H$9:$I$29,2,FALSE),"")</f>
        <v>Земля</v>
      </c>
      <c r="G325" s="1" t="s">
        <v>857</v>
      </c>
      <c r="H325" t="s">
        <v>65</v>
      </c>
      <c r="I325" t="s">
        <v>3306</v>
      </c>
      <c r="J325" s="7">
        <v>4.5</v>
      </c>
      <c r="K325" s="8"/>
      <c r="L325" s="8">
        <v>43158</v>
      </c>
      <c r="M325">
        <v>2</v>
      </c>
      <c r="N325" s="49" t="s">
        <v>67</v>
      </c>
      <c r="O325">
        <v>2018</v>
      </c>
      <c r="P325">
        <v>0.15029999999999999</v>
      </c>
      <c r="Q325" s="10"/>
      <c r="R325" s="11">
        <f>ROUND(Таб[[#This Row],[Зелений Тариф ЕЦ]]+Таб[[#This Row],[Зелений Тариф ЕЦ]]*Таб[[#This Row],[% надбавки]],4)</f>
        <v>0.15029999999999999</v>
      </c>
      <c r="S325" s="12"/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0.621</v>
      </c>
      <c r="AJ325">
        <v>0.66700000000000004</v>
      </c>
      <c r="AK325">
        <v>0.45100000000000001</v>
      </c>
      <c r="AL325">
        <v>0.497</v>
      </c>
      <c r="AM325">
        <v>0.61099999999999999</v>
      </c>
      <c r="AN325">
        <v>0.504</v>
      </c>
      <c r="AO325">
        <v>0.45500000000000002</v>
      </c>
      <c r="AP325">
        <v>0.17499999999999999</v>
      </c>
      <c r="AQ325">
        <v>7.0999999999999994E-2</v>
      </c>
      <c r="AR325">
        <v>4.5999999999999999E-2</v>
      </c>
      <c r="AS325">
        <v>0.29299999999999998</v>
      </c>
      <c r="AT325">
        <v>0.48699999999999999</v>
      </c>
      <c r="AU325">
        <v>0.51800000000000002</v>
      </c>
      <c r="AV325">
        <v>0.443</v>
      </c>
      <c r="AW325">
        <v>0.64</v>
      </c>
      <c r="AX325">
        <v>0.66</v>
      </c>
      <c r="AY325">
        <v>0.60899999999999999</v>
      </c>
      <c r="BD3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144.9039373672201</v>
      </c>
      <c r="BE3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249.86368085608626</v>
      </c>
      <c r="BF3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421.53872688645845</v>
      </c>
      <c r="BG3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599.16290817530887</v>
      </c>
      <c r="BH3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737.6927720513022</v>
      </c>
      <c r="BI3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764.88881894720271</v>
      </c>
      <c r="BJ3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777.21202769690763</v>
      </c>
      <c r="BK3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671.82734597529316</v>
      </c>
      <c r="BL3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471.68143835077512</v>
      </c>
      <c r="BM3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302.98095994964194</v>
      </c>
      <c r="BN3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140.2296168069872</v>
      </c>
      <c r="BO3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118.55776693681645</v>
      </c>
      <c r="BP325">
        <f>SUM(Таб[[#This Row],[1]:[12]])</f>
        <v>5400.5400000000009</v>
      </c>
    </row>
    <row r="326" spans="2:68" ht="51">
      <c r="B326" t="s">
        <v>384</v>
      </c>
      <c r="C326" t="str">
        <f>IFERROR(VLOOKUP(Таб[[#This Row],[Зелений Тариф ЕЦ]],Sheet6!$H$9:$I$29,2,FALSE),"")</f>
        <v>Земля</v>
      </c>
      <c r="G326" s="1" t="s">
        <v>859</v>
      </c>
      <c r="H326" t="s">
        <v>107</v>
      </c>
      <c r="I326" t="s">
        <v>3307</v>
      </c>
      <c r="J326" s="7">
        <v>2.0390000000000001</v>
      </c>
      <c r="K326" s="8"/>
      <c r="L326" s="8">
        <v>43277</v>
      </c>
      <c r="M326">
        <v>6</v>
      </c>
      <c r="N326" s="49" t="s">
        <v>57</v>
      </c>
      <c r="O326">
        <v>2018</v>
      </c>
      <c r="P326">
        <v>0.15029999999999999</v>
      </c>
      <c r="Q326" s="10"/>
      <c r="R326" s="11">
        <f>ROUND(Таб[[#This Row],[Зелений Тариф ЕЦ]]+Таб[[#This Row],[Зелений Тариф ЕЦ]]*Таб[[#This Row],[% надбавки]],4)</f>
        <v>0.15029999999999999</v>
      </c>
      <c r="S326" s="12"/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0.20599999999999999</v>
      </c>
      <c r="AO326">
        <v>0.19500000000000001</v>
      </c>
      <c r="AP326">
        <v>7.2999999999999995E-2</v>
      </c>
      <c r="AQ326">
        <v>8.0000000000000002E-3</v>
      </c>
      <c r="AR326">
        <v>4.1000000000000002E-2</v>
      </c>
      <c r="AS326">
        <v>0.109</v>
      </c>
      <c r="AT326">
        <v>0.20799999999999999</v>
      </c>
      <c r="AU326">
        <v>0.28699999999999998</v>
      </c>
      <c r="AV326">
        <v>0.22700000000000001</v>
      </c>
      <c r="AW326">
        <v>0.40200000000000002</v>
      </c>
      <c r="AX326">
        <v>0.38200000000000001</v>
      </c>
      <c r="AY326">
        <v>0.313</v>
      </c>
      <c r="BD3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65.657584064835959</v>
      </c>
      <c r="BE3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113.21601005901331</v>
      </c>
      <c r="BF3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191.00388091588638</v>
      </c>
      <c r="BG3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271.48737105987885</v>
      </c>
      <c r="BH3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334.25679160280117</v>
      </c>
      <c r="BI3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346.57962262963258</v>
      </c>
      <c r="BJ3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352.16340543866556</v>
      </c>
      <c r="BK3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304.41243520969397</v>
      </c>
      <c r="BL3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213.72410062160674</v>
      </c>
      <c r="BM3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137.28403940829332</v>
      </c>
      <c r="BN3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63.53959748209931</v>
      </c>
      <c r="BO3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53.719841507593046</v>
      </c>
      <c r="BP326">
        <f>SUM(Таб[[#This Row],[1]:[12]])</f>
        <v>2447.04468</v>
      </c>
    </row>
    <row r="327" spans="2:68" ht="25.5">
      <c r="B327" t="s">
        <v>384</v>
      </c>
      <c r="C327" t="str">
        <f>IFERROR(VLOOKUP(Таб[[#This Row],[Зелений Тариф ЕЦ]],Sheet6!$H$9:$I$29,2,FALSE),"")</f>
        <v>Земля</v>
      </c>
      <c r="D327" t="s">
        <v>3401</v>
      </c>
      <c r="F327" t="s">
        <v>3287</v>
      </c>
      <c r="G327" s="1" t="s">
        <v>861</v>
      </c>
      <c r="H327" t="s">
        <v>82</v>
      </c>
      <c r="I327" t="s">
        <v>202</v>
      </c>
      <c r="J327" s="7">
        <v>15.741</v>
      </c>
      <c r="K327" s="8"/>
      <c r="L327" s="8">
        <v>43511</v>
      </c>
      <c r="M327">
        <v>2</v>
      </c>
      <c r="N327" s="49" t="s">
        <v>67</v>
      </c>
      <c r="O327">
        <v>2019</v>
      </c>
      <c r="P327">
        <v>0.15029999999999999</v>
      </c>
      <c r="Q327" s="10"/>
      <c r="R327" s="11">
        <f>ROUND(Таб[[#This Row],[Зелений Тариф ЕЦ]]+Таб[[#This Row],[Зелений Тариф ЕЦ]]*Таб[[#This Row],[% надбавки]],4)</f>
        <v>0.15029999999999999</v>
      </c>
      <c r="S327" s="12"/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1.8640000000000001</v>
      </c>
      <c r="AU327">
        <v>2.2320000000000002</v>
      </c>
      <c r="AV327">
        <v>2.2719999999999998</v>
      </c>
      <c r="AW327">
        <v>2.5219999999999998</v>
      </c>
      <c r="AX327">
        <v>2.3839999999999999</v>
      </c>
      <c r="AY327">
        <v>2.5059999999999998</v>
      </c>
      <c r="BD3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506.87397291053594</v>
      </c>
      <c r="BE3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874.02315563458956</v>
      </c>
      <c r="BF3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1474.5424666488314</v>
      </c>
      <c r="BG3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2095.8718527972305</v>
      </c>
      <c r="BH3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2580.449316635455</v>
      </c>
      <c r="BI3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2675.5810886773152</v>
      </c>
      <c r="BJ3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2718.6876728837833</v>
      </c>
      <c r="BK3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2350.0520562215752</v>
      </c>
      <c r="BL3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1649.9416713510113</v>
      </c>
      <c r="BM3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1059.8273979038477</v>
      </c>
      <c r="BN3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490.52319959084122</v>
      </c>
      <c r="BO3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414.71506874498391</v>
      </c>
      <c r="BP327">
        <f>SUM(Таб[[#This Row],[1]:[12]])</f>
        <v>18891.088920000002</v>
      </c>
    </row>
    <row r="328" spans="2:68" ht="38.25">
      <c r="B328" t="s">
        <v>384</v>
      </c>
      <c r="C328" t="str">
        <f>IFERROR(VLOOKUP(Таб[[#This Row],[Зелений Тариф ЕЦ]],Sheet6!$H$9:$I$29,2,FALSE),"")</f>
        <v>Земля</v>
      </c>
      <c r="D328" t="s">
        <v>3372</v>
      </c>
      <c r="F328" t="s">
        <v>3287</v>
      </c>
      <c r="G328" s="1" t="s">
        <v>864</v>
      </c>
      <c r="H328" t="s">
        <v>233</v>
      </c>
      <c r="I328" t="s">
        <v>289</v>
      </c>
      <c r="J328" s="7">
        <v>3.4550000000000001</v>
      </c>
      <c r="K328" s="8"/>
      <c r="L328" s="8">
        <v>42740</v>
      </c>
      <c r="M328">
        <v>1</v>
      </c>
      <c r="N328" s="49" t="s">
        <v>67</v>
      </c>
      <c r="O328">
        <v>2017</v>
      </c>
      <c r="P328">
        <v>0.15989999999999999</v>
      </c>
      <c r="Q328" s="10"/>
      <c r="R328" s="11">
        <f>ROUND(Таб[[#This Row],[Зелений Тариф ЕЦ]]+Таб[[#This Row],[Зелений Тариф ЕЦ]]*Таб[[#This Row],[% надбавки]],4)</f>
        <v>0.15989999999999999</v>
      </c>
      <c r="S328" s="12"/>
      <c r="T328">
        <v>1.7000000000000001E-2</v>
      </c>
      <c r="U328">
        <v>0.14200000000000002</v>
      </c>
      <c r="V328">
        <v>0.33499999999999996</v>
      </c>
      <c r="W328">
        <v>0.33599999999999997</v>
      </c>
      <c r="X328">
        <v>0.53600000000000014</v>
      </c>
      <c r="Y328">
        <v>0.5279999999999998</v>
      </c>
      <c r="Z328">
        <v>0.55099999999999993</v>
      </c>
      <c r="AA328">
        <v>0.57699999999999996</v>
      </c>
      <c r="AB328">
        <v>0.36699999999999999</v>
      </c>
      <c r="AC328">
        <v>0.27700000000000014</v>
      </c>
      <c r="AD328">
        <v>0.14700000000000024</v>
      </c>
      <c r="AE328">
        <v>3.6999999999999922E-2</v>
      </c>
      <c r="AF328">
        <v>0.10299999999999999</v>
      </c>
      <c r="AG328">
        <v>0.187</v>
      </c>
      <c r="AH328">
        <v>0.252</v>
      </c>
      <c r="AI328">
        <v>0.49299999999999999</v>
      </c>
      <c r="AJ328">
        <v>0.58299999999999996</v>
      </c>
      <c r="AK328">
        <v>0.503</v>
      </c>
      <c r="AL328">
        <v>0.52900000000000003</v>
      </c>
      <c r="AM328">
        <v>0.55100000000000005</v>
      </c>
      <c r="AN328">
        <v>0.42299999999999999</v>
      </c>
      <c r="AO328">
        <v>0.33600000000000002</v>
      </c>
      <c r="AP328">
        <v>0.19800000000000001</v>
      </c>
      <c r="AQ328">
        <v>5.1999999999999998E-2</v>
      </c>
      <c r="AR328">
        <v>2.7E-2</v>
      </c>
      <c r="AS328">
        <v>0.23499999999999999</v>
      </c>
      <c r="AT328">
        <v>0.38800000000000001</v>
      </c>
      <c r="AU328">
        <v>0.505</v>
      </c>
      <c r="AV328">
        <v>0.34899999999999998</v>
      </c>
      <c r="AW328">
        <v>0.57199999999999995</v>
      </c>
      <c r="AX328">
        <v>0.54100000000000004</v>
      </c>
      <c r="AY328">
        <v>0.52700000000000002</v>
      </c>
      <c r="BD3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111.25402302305454</v>
      </c>
      <c r="BE3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191.83978163506177</v>
      </c>
      <c r="BF3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323.64806697615859</v>
      </c>
      <c r="BG3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460.02396616570934</v>
      </c>
      <c r="BH3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566.38411720827764</v>
      </c>
      <c r="BI3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587.2646376583524</v>
      </c>
      <c r="BJ3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596.72612348729251</v>
      </c>
      <c r="BK3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515.81410674325286</v>
      </c>
      <c r="BL3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362.146526555984</v>
      </c>
      <c r="BM3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232.62204813911404</v>
      </c>
      <c r="BN3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107.66518357069793</v>
      </c>
      <c r="BO3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91.026018837044617</v>
      </c>
      <c r="BP328">
        <f>SUM(Таб[[#This Row],[1]:[12]])</f>
        <v>4146.414600000001</v>
      </c>
    </row>
    <row r="329" spans="2:68" ht="38.25">
      <c r="B329" t="s">
        <v>384</v>
      </c>
      <c r="C329" t="str">
        <f>IFERROR(VLOOKUP(Таб[[#This Row],[Зелений Тариф ЕЦ]],Sheet6!$H$9:$I$29,2,FALSE),"")</f>
        <v>Земля</v>
      </c>
      <c r="D329" t="s">
        <v>3372</v>
      </c>
      <c r="F329" t="s">
        <v>3287</v>
      </c>
      <c r="G329" s="1" t="s">
        <v>864</v>
      </c>
      <c r="H329" t="s">
        <v>233</v>
      </c>
      <c r="I329" t="s">
        <v>404</v>
      </c>
      <c r="J329" s="7">
        <v>5.3129999999999997</v>
      </c>
      <c r="K329" s="8"/>
      <c r="L329" s="8">
        <v>43490</v>
      </c>
      <c r="M329">
        <v>1</v>
      </c>
      <c r="N329" s="49" t="s">
        <v>67</v>
      </c>
      <c r="O329">
        <v>2019</v>
      </c>
      <c r="P329">
        <v>0.15029999999999999</v>
      </c>
      <c r="Q329" s="10"/>
      <c r="R329" s="11">
        <f>ROUND(Таб[[#This Row],[Зелений Тариф ЕЦ]]+Таб[[#This Row],[Зелений Тариф ЕЦ]]*Таб[[#This Row],[% надбавки]],4)</f>
        <v>0.15029999999999999</v>
      </c>
      <c r="S329" s="12"/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4.5999999999999999E-2</v>
      </c>
      <c r="AS329">
        <v>0.36099999999999999</v>
      </c>
      <c r="AT329">
        <v>0.59799999999999998</v>
      </c>
      <c r="AU329">
        <v>0.48299999999999998</v>
      </c>
      <c r="AV329">
        <v>0.52200000000000002</v>
      </c>
      <c r="AW329">
        <v>0.92900000000000005</v>
      </c>
      <c r="AX329">
        <v>0.86699999999999999</v>
      </c>
      <c r="AY329">
        <v>0.82399999999999995</v>
      </c>
      <c r="BD3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171.08324871823118</v>
      </c>
      <c r="BE3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295.00571919741913</v>
      </c>
      <c r="BF3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497.69672354394527</v>
      </c>
      <c r="BG3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707.41167358564792</v>
      </c>
      <c r="BH3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870.96926620190425</v>
      </c>
      <c r="BI3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903.07873223699744</v>
      </c>
      <c r="BJ3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917.62833403414902</v>
      </c>
      <c r="BK3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793.20415314816273</v>
      </c>
      <c r="BL3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556.89855154614838</v>
      </c>
      <c r="BM3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357.71952004721061</v>
      </c>
      <c r="BN3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165.56443424344951</v>
      </c>
      <c r="BO3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139.9772034967346</v>
      </c>
      <c r="BP329">
        <f>SUM(Таб[[#This Row],[1]:[12]])</f>
        <v>6376.2375600000005</v>
      </c>
    </row>
    <row r="330" spans="2:68" ht="38.25">
      <c r="B330" t="s">
        <v>384</v>
      </c>
      <c r="C330" t="str">
        <f>IFERROR(VLOOKUP(Таб[[#This Row],[Зелений Тариф ЕЦ]],Sheet6!$H$9:$I$29,2,FALSE),"")</f>
        <v>Земля</v>
      </c>
      <c r="G330" s="1" t="s">
        <v>871</v>
      </c>
      <c r="H330" t="s">
        <v>65</v>
      </c>
      <c r="I330" t="s">
        <v>454</v>
      </c>
      <c r="J330" s="7">
        <v>3.8220000000000001</v>
      </c>
      <c r="K330" s="8"/>
      <c r="L330" s="8">
        <v>42773</v>
      </c>
      <c r="M330">
        <v>2</v>
      </c>
      <c r="N330" s="49" t="s">
        <v>67</v>
      </c>
      <c r="O330">
        <v>2017</v>
      </c>
      <c r="P330">
        <v>0.15989999999999999</v>
      </c>
      <c r="Q330" s="10"/>
      <c r="R330" s="11">
        <f>ROUND(Таб[[#This Row],[Зелений Тариф ЕЦ]]+Таб[[#This Row],[Зелений Тариф ЕЦ]]*Таб[[#This Row],[% надбавки]],4)</f>
        <v>0.15989999999999999</v>
      </c>
      <c r="S330" s="12"/>
      <c r="T330">
        <v>0</v>
      </c>
      <c r="U330">
        <v>0</v>
      </c>
      <c r="V330">
        <v>0</v>
      </c>
      <c r="W330">
        <v>0.441</v>
      </c>
      <c r="X330">
        <v>0.54600000000000004</v>
      </c>
      <c r="Y330">
        <v>0.62</v>
      </c>
      <c r="Z330">
        <v>0.62200000000000011</v>
      </c>
      <c r="AA330">
        <v>0.57299999999999995</v>
      </c>
      <c r="AB330">
        <v>0.42499999999999982</v>
      </c>
      <c r="AC330">
        <v>0.35600000000000032</v>
      </c>
      <c r="AD330">
        <v>9.8999999999999755E-2</v>
      </c>
      <c r="AE330">
        <v>8.8000000000000078E-2</v>
      </c>
      <c r="AF330">
        <v>0.13</v>
      </c>
      <c r="AG330">
        <v>0.127</v>
      </c>
      <c r="AH330">
        <v>0.28799999999999998</v>
      </c>
      <c r="AI330">
        <v>0.59199999999999997</v>
      </c>
      <c r="AJ330">
        <v>0.51600000000000001</v>
      </c>
      <c r="AK330">
        <v>0.439</v>
      </c>
      <c r="AL330">
        <v>0.48199999999999998</v>
      </c>
      <c r="AM330">
        <v>0.57599999999999996</v>
      </c>
      <c r="AN330">
        <v>0.45500000000000002</v>
      </c>
      <c r="AO330">
        <v>0.36</v>
      </c>
      <c r="AP330">
        <v>0.129</v>
      </c>
      <c r="AQ330">
        <v>5.8000000000000003E-2</v>
      </c>
      <c r="AR330">
        <v>8.1000000000000003E-2</v>
      </c>
      <c r="AS330">
        <v>0.253</v>
      </c>
      <c r="AT330">
        <v>0.39600000000000002</v>
      </c>
      <c r="AU330">
        <v>0.46600000000000003</v>
      </c>
      <c r="AV330">
        <v>0.46800000000000003</v>
      </c>
      <c r="AW330">
        <v>0.59599999999999997</v>
      </c>
      <c r="AX330">
        <v>0.59599999999999997</v>
      </c>
      <c r="AY330">
        <v>0.58099999999999996</v>
      </c>
      <c r="BD3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123.07174413722561</v>
      </c>
      <c r="BE3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212.21755294043595</v>
      </c>
      <c r="BF3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358.02689203556531</v>
      </c>
      <c r="BG3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508.88903001022896</v>
      </c>
      <c r="BH3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626.54706106223932</v>
      </c>
      <c r="BI3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649.64557022582426</v>
      </c>
      <c r="BJ3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660.11208219057357</v>
      </c>
      <c r="BK3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570.60535918168239</v>
      </c>
      <c r="BL3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400.61476830592505</v>
      </c>
      <c r="BM3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257.33182865056256</v>
      </c>
      <c r="BN3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119.10168787473445</v>
      </c>
      <c r="BO3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100.69506338500275</v>
      </c>
      <c r="BP330">
        <f>SUM(Таб[[#This Row],[1]:[12]])</f>
        <v>4586.8586400000004</v>
      </c>
    </row>
    <row r="331" spans="2:68" ht="25.5">
      <c r="B331" t="s">
        <v>384</v>
      </c>
      <c r="C331" t="str">
        <f>IFERROR(VLOOKUP(Таб[[#This Row],[Зелений Тариф ЕЦ]],Sheet6!$H$9:$I$29,2,FALSE),"")</f>
        <v>Земля</v>
      </c>
      <c r="G331" s="1" t="s">
        <v>874</v>
      </c>
      <c r="H331" t="s">
        <v>65</v>
      </c>
      <c r="I331" t="s">
        <v>3306</v>
      </c>
      <c r="J331" s="7">
        <v>2.0089999999999999</v>
      </c>
      <c r="K331" s="8"/>
      <c r="L331" s="8">
        <v>43111</v>
      </c>
      <c r="M331">
        <v>1</v>
      </c>
      <c r="N331" s="49" t="s">
        <v>67</v>
      </c>
      <c r="O331">
        <v>2018</v>
      </c>
      <c r="P331">
        <v>0.15029999999999999</v>
      </c>
      <c r="Q331" s="10"/>
      <c r="R331" s="11">
        <f>ROUND(Таб[[#This Row],[Зелений Тариф ЕЦ]]+Таб[[#This Row],[Зелений Тариф ЕЦ]]*Таб[[#This Row],[% надбавки]],4)</f>
        <v>0.15029999999999999</v>
      </c>
      <c r="S331" s="12"/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7.0000000000000007E-2</v>
      </c>
      <c r="AG331">
        <v>4.2000000000000003E-2</v>
      </c>
      <c r="AH331">
        <v>0.13</v>
      </c>
      <c r="AI331">
        <v>0.26300000000000001</v>
      </c>
      <c r="AJ331">
        <v>0.311</v>
      </c>
      <c r="AK331">
        <v>0.22700000000000001</v>
      </c>
      <c r="AL331">
        <v>0.23799999999999999</v>
      </c>
      <c r="AM331">
        <v>0.27100000000000002</v>
      </c>
      <c r="AN331">
        <v>0.23</v>
      </c>
      <c r="AO331">
        <v>0.2</v>
      </c>
      <c r="AP331">
        <v>4.8000000000000001E-2</v>
      </c>
      <c r="AQ331">
        <v>2.5000000000000001E-2</v>
      </c>
      <c r="AR331">
        <v>1.6E-2</v>
      </c>
      <c r="AS331">
        <v>0.13</v>
      </c>
      <c r="AT331">
        <v>0.21199999999999999</v>
      </c>
      <c r="AU331">
        <v>0.22900000000000001</v>
      </c>
      <c r="AV331">
        <v>0.20599999999999999</v>
      </c>
      <c r="AW331">
        <v>0.28000000000000003</v>
      </c>
      <c r="AX331">
        <v>0.27100000000000002</v>
      </c>
      <c r="AY331">
        <v>0.73199999999999998</v>
      </c>
      <c r="BD3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64.691557815721154</v>
      </c>
      <c r="BE3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111.5502521866394</v>
      </c>
      <c r="BF3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188.19362273664331</v>
      </c>
      <c r="BG3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267.49295167204343</v>
      </c>
      <c r="BH3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329.33883978912576</v>
      </c>
      <c r="BI3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341.48036383665118</v>
      </c>
      <c r="BJ3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346.98199192068614</v>
      </c>
      <c r="BK3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299.93358623652529</v>
      </c>
      <c r="BL3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210.57955769926826</v>
      </c>
      <c r="BM3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135.26416634196238</v>
      </c>
      <c r="BN3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62.604733370052728</v>
      </c>
      <c r="BO3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52.929456394680926</v>
      </c>
      <c r="BP331">
        <f>SUM(Таб[[#This Row],[1]:[12]])</f>
        <v>2411.04108</v>
      </c>
    </row>
    <row r="332" spans="2:68" ht="25.5">
      <c r="B332" t="s">
        <v>384</v>
      </c>
      <c r="C332" t="str">
        <f>IFERROR(VLOOKUP(Таб[[#This Row],[Зелений Тариф ЕЦ]],Sheet6!$H$9:$I$29,2,FALSE),"")</f>
        <v>Земля</v>
      </c>
      <c r="G332" s="1" t="s">
        <v>874</v>
      </c>
      <c r="H332" t="s">
        <v>65</v>
      </c>
      <c r="J332" s="7">
        <v>0.54700000000000004</v>
      </c>
      <c r="K332" s="8"/>
      <c r="L332" s="8">
        <v>43277</v>
      </c>
      <c r="M332">
        <v>6</v>
      </c>
      <c r="N332" s="49" t="s">
        <v>57</v>
      </c>
      <c r="O332">
        <v>2018</v>
      </c>
      <c r="P332">
        <v>0.15029999999999999</v>
      </c>
      <c r="Q332" s="10"/>
      <c r="R332" s="11">
        <f>ROUND(Таб[[#This Row],[Зелений Тариф ЕЦ]]+Таб[[#This Row],[Зелений Тариф ЕЦ]]*Таб[[#This Row],[% надбавки]],4)</f>
        <v>0.15029999999999999</v>
      </c>
      <c r="S332" s="12"/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9.2999999999999999E-2</v>
      </c>
      <c r="AM332">
        <v>6.8000000000000005E-2</v>
      </c>
      <c r="AN332">
        <v>4.9000000000000002E-2</v>
      </c>
      <c r="AO332">
        <v>4.7E-2</v>
      </c>
      <c r="AP332">
        <v>1.2999999999999999E-2</v>
      </c>
      <c r="AQ332">
        <v>8.9999999999999993E-3</v>
      </c>
      <c r="AR332">
        <v>6.0000000000000001E-3</v>
      </c>
      <c r="AS332">
        <v>3.5000000000000003E-2</v>
      </c>
      <c r="AT332">
        <v>5.6000000000000001E-2</v>
      </c>
      <c r="AU332">
        <v>6.2E-2</v>
      </c>
      <c r="AV332">
        <v>5.7000000000000002E-2</v>
      </c>
      <c r="AW332">
        <v>0.08</v>
      </c>
      <c r="AX332">
        <v>7.5999999999999998E-2</v>
      </c>
      <c r="AY332">
        <v>0</v>
      </c>
      <c r="BD3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17.613878608859867</v>
      </c>
      <c r="BE3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30.372318539617595</v>
      </c>
      <c r="BF3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51.240374134865057</v>
      </c>
      <c r="BG3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72.831580171531996</v>
      </c>
      <c r="BH3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89.670654736013859</v>
      </c>
      <c r="BI3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92.976485325359988</v>
      </c>
      <c r="BJ3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94.474439811157453</v>
      </c>
      <c r="BK3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81.664346277441183</v>
      </c>
      <c r="BL3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57.335499283972005</v>
      </c>
      <c r="BM3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36.829018909434261</v>
      </c>
      <c r="BN3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17.045688976316001</v>
      </c>
      <c r="BO3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14.411355225430798</v>
      </c>
      <c r="BP332">
        <f>SUM(Таб[[#This Row],[1]:[12]])</f>
        <v>656.46564000000001</v>
      </c>
    </row>
    <row r="333" spans="2:68" ht="25.5">
      <c r="B333" t="s">
        <v>384</v>
      </c>
      <c r="C333" t="str">
        <f>IFERROR(VLOOKUP(Таб[[#This Row],[Зелений Тариф ЕЦ]],Sheet6!$H$9:$I$29,2,FALSE),"")</f>
        <v>Земля</v>
      </c>
      <c r="G333" s="1" t="s">
        <v>874</v>
      </c>
      <c r="H333" t="s">
        <v>65</v>
      </c>
      <c r="J333" s="7">
        <v>2.952</v>
      </c>
      <c r="K333" s="8"/>
      <c r="L333" s="8">
        <v>43596</v>
      </c>
      <c r="M333">
        <v>5</v>
      </c>
      <c r="N333" s="49" t="s">
        <v>57</v>
      </c>
      <c r="O333">
        <v>2019</v>
      </c>
      <c r="P333">
        <v>0.15029999999999999</v>
      </c>
      <c r="Q333" s="10"/>
      <c r="R333" s="11">
        <f>ROUND(Таб[[#This Row],[Зелений Тариф ЕЦ]]+Таб[[#This Row],[Зелений Тариф ЕЦ]]*Таб[[#This Row],[% надбавки]],4)</f>
        <v>0.15029999999999999</v>
      </c>
      <c r="S333" s="12"/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0.20399999999999999</v>
      </c>
      <c r="AY333">
        <v>0</v>
      </c>
      <c r="BD3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95.056982912896387</v>
      </c>
      <c r="BE3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163.91057464159258</v>
      </c>
      <c r="BF3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276.52940483751667</v>
      </c>
      <c r="BG3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393.05086776300266</v>
      </c>
      <c r="BH3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483.92645846565426</v>
      </c>
      <c r="BI3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501.76706522936496</v>
      </c>
      <c r="BJ3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509.85109016917147</v>
      </c>
      <c r="BK3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440.71873895979223</v>
      </c>
      <c r="BL3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309.42302355810841</v>
      </c>
      <c r="BM3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198.75550972696516</v>
      </c>
      <c r="BN3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91.990628625383607</v>
      </c>
      <c r="BO3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77.773895110551578</v>
      </c>
      <c r="BP333">
        <f>SUM(Таб[[#This Row],[1]:[12]])</f>
        <v>3542.7542399999998</v>
      </c>
    </row>
    <row r="334" spans="2:68" ht="38.25">
      <c r="B334" t="s">
        <v>384</v>
      </c>
      <c r="C334" t="str">
        <f>IFERROR(VLOOKUP(Таб[[#This Row],[Зелений Тариф ЕЦ]],Sheet6!$H$9:$I$29,2,FALSE),"")</f>
        <v>Земля</v>
      </c>
      <c r="D334" t="s">
        <v>3402</v>
      </c>
      <c r="F334" t="s">
        <v>3287</v>
      </c>
      <c r="G334" s="1" t="s">
        <v>880</v>
      </c>
      <c r="H334" t="s">
        <v>82</v>
      </c>
      <c r="J334" s="7">
        <v>11.679</v>
      </c>
      <c r="K334" s="8"/>
      <c r="L334" s="8">
        <v>43637</v>
      </c>
      <c r="M334">
        <v>6</v>
      </c>
      <c r="N334" s="49" t="s">
        <v>57</v>
      </c>
      <c r="O334">
        <v>2019</v>
      </c>
      <c r="P334">
        <v>0.15029999999999999</v>
      </c>
      <c r="Q334" s="10"/>
      <c r="R334" s="11">
        <f>ROUND(Таб[[#This Row],[Зелений Тариф ЕЦ]]+Таб[[#This Row],[Зелений Тариф ЕЦ]]*Таб[[#This Row],[% надбавки]],4)</f>
        <v>0.15029999999999999</v>
      </c>
      <c r="S334" s="12"/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1.7589999999999999</v>
      </c>
      <c r="BD3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376.0740187803919</v>
      </c>
      <c r="BE3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648.47953971516245</v>
      </c>
      <c r="BF3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1094.0335091793218</v>
      </c>
      <c r="BG3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1555.0274676843183</v>
      </c>
      <c r="BH3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1914.5586410638134</v>
      </c>
      <c r="BI3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1985.1414481076404</v>
      </c>
      <c r="BJ3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2017.1242825493746</v>
      </c>
      <c r="BK3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1743.6159052545443</v>
      </c>
      <c r="BL3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1224.1705596663783</v>
      </c>
      <c r="BM3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786.33658472263755</v>
      </c>
      <c r="BN3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363.94259881973414</v>
      </c>
      <c r="BO3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307.69692445668431</v>
      </c>
      <c r="BP334">
        <f>SUM(Таб[[#This Row],[1]:[12]])</f>
        <v>14016.201480000003</v>
      </c>
    </row>
    <row r="335" spans="2:68" ht="38.25">
      <c r="B335" t="s">
        <v>384</v>
      </c>
      <c r="C335" t="str">
        <f>IFERROR(VLOOKUP(Таб[[#This Row],[Зелений Тариф ЕЦ]],Sheet6!$H$9:$I$29,2,FALSE),"")</f>
        <v>Земля</v>
      </c>
      <c r="G335" s="1" t="s">
        <v>883</v>
      </c>
      <c r="H335" t="s">
        <v>136</v>
      </c>
      <c r="J335" s="7">
        <v>2.093</v>
      </c>
      <c r="K335" s="8"/>
      <c r="L335" s="8">
        <v>42803</v>
      </c>
      <c r="M335">
        <v>3</v>
      </c>
      <c r="N335" s="49" t="s">
        <v>67</v>
      </c>
      <c r="O335">
        <v>2017</v>
      </c>
      <c r="P335">
        <v>0.15989999999999999</v>
      </c>
      <c r="Q335" s="10"/>
      <c r="R335" s="11">
        <f>ROUND(Таб[[#This Row],[Зелений Тариф ЕЦ]]+Таб[[#This Row],[Зелений Тариф ЕЦ]]*Таб[[#This Row],[% надбавки]],4)</f>
        <v>0.15989999999999999</v>
      </c>
      <c r="S335" s="12"/>
      <c r="T335">
        <v>0</v>
      </c>
      <c r="U335">
        <v>0</v>
      </c>
      <c r="V335">
        <v>0</v>
      </c>
      <c r="W335">
        <v>0</v>
      </c>
      <c r="X335">
        <v>0.54700000000000004</v>
      </c>
      <c r="Y335">
        <v>0.30999999999999994</v>
      </c>
      <c r="Z335">
        <v>0.35099999999999998</v>
      </c>
      <c r="AA335">
        <v>0.31499999999999995</v>
      </c>
      <c r="AB335">
        <v>0.28000000000000003</v>
      </c>
      <c r="AC335">
        <v>0.1180000000000001</v>
      </c>
      <c r="AD335">
        <v>4.6999999999999931E-2</v>
      </c>
      <c r="AE335">
        <v>2.3000000000000131E-2</v>
      </c>
      <c r="AF335">
        <v>5.1999999999999998E-2</v>
      </c>
      <c r="AG335">
        <v>8.4000000000000005E-2</v>
      </c>
      <c r="AH335">
        <v>0.16800000000000001</v>
      </c>
      <c r="AI335">
        <v>0.32800000000000001</v>
      </c>
      <c r="AJ335">
        <v>0.35599999999999998</v>
      </c>
      <c r="AK335">
        <v>0.32200000000000001</v>
      </c>
      <c r="AL335">
        <v>0.311</v>
      </c>
      <c r="AM335">
        <v>0.36399999999999999</v>
      </c>
      <c r="AN335">
        <v>0.224</v>
      </c>
      <c r="AO335">
        <v>0.214</v>
      </c>
      <c r="AP335">
        <v>6.0999999999999999E-2</v>
      </c>
      <c r="AQ335">
        <v>1.6E-2</v>
      </c>
      <c r="AR335">
        <v>1.6E-2</v>
      </c>
      <c r="AS335">
        <v>0.106</v>
      </c>
      <c r="AT335">
        <v>0.22700000000000001</v>
      </c>
      <c r="AU335">
        <v>0.27500000000000002</v>
      </c>
      <c r="AV335">
        <v>0.27300000000000002</v>
      </c>
      <c r="AW335">
        <v>0.36</v>
      </c>
      <c r="AX335">
        <v>0.33600000000000002</v>
      </c>
      <c r="AY335">
        <v>0.32900000000000001</v>
      </c>
      <c r="BD3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67.396431313242601</v>
      </c>
      <c r="BE3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116.21437422928632</v>
      </c>
      <c r="BF3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196.06234563852388</v>
      </c>
      <c r="BG3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278.67732595798253</v>
      </c>
      <c r="BH3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343.10910486741676</v>
      </c>
      <c r="BI3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355.75828845699903</v>
      </c>
      <c r="BJ3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361.48994977102836</v>
      </c>
      <c r="BK3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312.47436336139742</v>
      </c>
      <c r="BL3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219.38427788181608</v>
      </c>
      <c r="BM3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140.91981092768901</v>
      </c>
      <c r="BN3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65.222352883783159</v>
      </c>
      <c r="BO3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55.142534710834838</v>
      </c>
      <c r="BP335">
        <f>SUM(Таб[[#This Row],[1]:[12]])</f>
        <v>2511.8511600000002</v>
      </c>
    </row>
    <row r="336" spans="2:68" ht="25.5">
      <c r="B336" t="s">
        <v>384</v>
      </c>
      <c r="C336" t="str">
        <f>IFERROR(VLOOKUP(Таб[[#This Row],[Зелений Тариф ЕЦ]],Sheet6!$H$9:$I$29,2,FALSE),"")</f>
        <v>Земля</v>
      </c>
      <c r="D336" t="s">
        <v>3386</v>
      </c>
      <c r="E336" t="s">
        <v>3386</v>
      </c>
      <c r="F336" t="s">
        <v>3287</v>
      </c>
      <c r="G336" s="1" t="s">
        <v>886</v>
      </c>
      <c r="H336" t="s">
        <v>98</v>
      </c>
      <c r="J336" s="7">
        <v>5.94</v>
      </c>
      <c r="K336" s="8"/>
      <c r="L336" s="8">
        <v>43277</v>
      </c>
      <c r="M336">
        <v>6</v>
      </c>
      <c r="N336" s="49" t="s">
        <v>57</v>
      </c>
      <c r="O336">
        <v>2018</v>
      </c>
      <c r="P336">
        <v>0.15029999999999999</v>
      </c>
      <c r="Q336" s="10"/>
      <c r="R336" s="11">
        <f>ROUND(Таб[[#This Row],[Зелений Тариф ЕЦ]]+Таб[[#This Row],[Зелений Тариф ЕЦ]]*Таб[[#This Row],[% надбавки]],4)</f>
        <v>0.15029999999999999</v>
      </c>
      <c r="S336" s="12"/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0.245</v>
      </c>
      <c r="AL336">
        <v>1.0509999999999999</v>
      </c>
      <c r="AM336">
        <v>1.6140000000000001</v>
      </c>
      <c r="AN336">
        <v>1.3460000000000001</v>
      </c>
      <c r="AO336">
        <v>0.96299999999999997</v>
      </c>
      <c r="AP336">
        <v>0.42399999999999999</v>
      </c>
      <c r="AQ336">
        <v>0.11</v>
      </c>
      <c r="AR336">
        <v>0.17699999999999999</v>
      </c>
      <c r="AS336">
        <v>0.745</v>
      </c>
      <c r="AT336">
        <v>1.06</v>
      </c>
      <c r="AU336">
        <v>1.51</v>
      </c>
      <c r="AV336">
        <v>1.2709999999999999</v>
      </c>
      <c r="AW336">
        <v>1.9019999999999999</v>
      </c>
      <c r="AX336">
        <v>1.702</v>
      </c>
      <c r="AY336">
        <v>1.7270000000000001</v>
      </c>
      <c r="BD3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191.27319732473055</v>
      </c>
      <c r="BE3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329.82005873003385</v>
      </c>
      <c r="BF3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556.43111949012507</v>
      </c>
      <c r="BG3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790.89503879140784</v>
      </c>
      <c r="BH3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973.75445910771896</v>
      </c>
      <c r="BI3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1009.6532410103077</v>
      </c>
      <c r="BJ3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1025.9198765599183</v>
      </c>
      <c r="BK3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886.81209668738711</v>
      </c>
      <c r="BL3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622.61949862302322</v>
      </c>
      <c r="BM3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399.9348671335274</v>
      </c>
      <c r="BN3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185.10309418522311</v>
      </c>
      <c r="BO3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156.49625235659769</v>
      </c>
      <c r="BP336">
        <f>SUM(Таб[[#This Row],[1]:[12]])</f>
        <v>7128.7128000000002</v>
      </c>
    </row>
    <row r="337" spans="2:68" ht="25.5">
      <c r="B337" t="s">
        <v>384</v>
      </c>
      <c r="C337" t="str">
        <f>IFERROR(VLOOKUP(Таб[[#This Row],[Зелений Тариф ЕЦ]],Sheet6!$H$9:$I$29,2,FALSE),"")</f>
        <v>Земля</v>
      </c>
      <c r="D337" t="s">
        <v>3386</v>
      </c>
      <c r="E337" t="s">
        <v>3386</v>
      </c>
      <c r="F337" t="s">
        <v>3287</v>
      </c>
      <c r="G337" s="1" t="s">
        <v>886</v>
      </c>
      <c r="H337" t="s">
        <v>98</v>
      </c>
      <c r="J337" s="7">
        <v>5.7969999999999997</v>
      </c>
      <c r="K337" s="8"/>
      <c r="L337" s="8">
        <v>43300</v>
      </c>
      <c r="M337">
        <v>7</v>
      </c>
      <c r="N337" s="49" t="s">
        <v>60</v>
      </c>
      <c r="O337">
        <v>2018</v>
      </c>
      <c r="P337">
        <v>0.15029999999999999</v>
      </c>
      <c r="Q337" s="10"/>
      <c r="R337" s="11">
        <f>ROUND(Таб[[#This Row],[Зелений Тариф ЕЦ]]+Таб[[#This Row],[Зелений Тариф ЕЦ]]*Таб[[#This Row],[% надбавки]],4)</f>
        <v>0.15029999999999999</v>
      </c>
      <c r="S337" s="12"/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BD3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186.66847220394996</v>
      </c>
      <c r="BE3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321.87994620505151</v>
      </c>
      <c r="BF3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543.0355555023998</v>
      </c>
      <c r="BG3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771.85497304272565</v>
      </c>
      <c r="BH3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950.31222212919965</v>
      </c>
      <c r="BI3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985.34677409709661</v>
      </c>
      <c r="BJ3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1001.2218054575496</v>
      </c>
      <c r="BK3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865.46291658194991</v>
      </c>
      <c r="BL3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607.63051069320954</v>
      </c>
      <c r="BM3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390.30680551734986</v>
      </c>
      <c r="BN3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180.6469085844677</v>
      </c>
      <c r="BO3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152.72874998504997</v>
      </c>
      <c r="BP337">
        <f>SUM(Таб[[#This Row],[1]:[12]])</f>
        <v>6957.0956399999995</v>
      </c>
    </row>
    <row r="338" spans="2:68" ht="38.25">
      <c r="B338" t="s">
        <v>384</v>
      </c>
      <c r="C338" t="str">
        <f>IFERROR(VLOOKUP(Таб[[#This Row],[Зелений Тариф ЕЦ]],Sheet6!$H$9:$I$29,2,FALSE),"")</f>
        <v>Земля</v>
      </c>
      <c r="G338" s="1" t="s">
        <v>891</v>
      </c>
      <c r="H338" t="s">
        <v>98</v>
      </c>
      <c r="J338" s="7">
        <v>2.7450000000000001</v>
      </c>
      <c r="K338" s="8"/>
      <c r="L338" s="8">
        <v>43613</v>
      </c>
      <c r="M338">
        <v>5</v>
      </c>
      <c r="N338" s="49" t="s">
        <v>57</v>
      </c>
      <c r="O338">
        <v>2019</v>
      </c>
      <c r="P338">
        <v>0.15029999999999999</v>
      </c>
      <c r="Q338" s="10"/>
      <c r="R338" s="11">
        <f>ROUND(Таб[[#This Row],[Зелений Тариф ЕЦ]]+Таб[[#This Row],[Зелений Тариф ЕЦ]]*Таб[[#This Row],[% надбавки]],4)</f>
        <v>0.15029999999999999</v>
      </c>
      <c r="S338" s="12"/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BD3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88.391401794004267</v>
      </c>
      <c r="BE3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152.41684532221262</v>
      </c>
      <c r="BF3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257.13862340073968</v>
      </c>
      <c r="BG3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365.48937398693835</v>
      </c>
      <c r="BH3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449.99259095129435</v>
      </c>
      <c r="BI3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466.58217955779378</v>
      </c>
      <c r="BJ3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474.09933689511371</v>
      </c>
      <c r="BK3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409.81468104492888</v>
      </c>
      <c r="BL3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287.72567739397277</v>
      </c>
      <c r="BM3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184.81838556928159</v>
      </c>
      <c r="BN3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85.540066252262193</v>
      </c>
      <c r="BO3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72.32023783145803</v>
      </c>
      <c r="BP338">
        <f>SUM(Таб[[#This Row],[1]:[12]])</f>
        <v>3294.3294000000001</v>
      </c>
    </row>
    <row r="339" spans="2:68" ht="25.5">
      <c r="B339" t="s">
        <v>384</v>
      </c>
      <c r="C339" t="str">
        <f>IFERROR(VLOOKUP(Таб[[#This Row],[Зелений Тариф ЕЦ]],Sheet6!$H$9:$I$29,2,FALSE),"")</f>
        <v>Земля</v>
      </c>
      <c r="G339" s="1" t="s">
        <v>894</v>
      </c>
      <c r="H339" t="s">
        <v>98</v>
      </c>
      <c r="J339" s="7">
        <v>9.94</v>
      </c>
      <c r="K339" s="8"/>
      <c r="L339" s="8">
        <v>42726</v>
      </c>
      <c r="M339">
        <v>12</v>
      </c>
      <c r="N339" s="49" t="s">
        <v>71</v>
      </c>
      <c r="O339">
        <v>2016</v>
      </c>
      <c r="P339">
        <v>0.15989999999999999</v>
      </c>
      <c r="Q339" s="10"/>
      <c r="R339" s="11">
        <f>ROUND(Таб[[#This Row],[Зелений Тариф ЕЦ]]+Таб[[#This Row],[Зелений Тариф ЕЦ]]*Таб[[#This Row],[% надбавки]],4)</f>
        <v>0.15989999999999999</v>
      </c>
      <c r="S339" s="12"/>
      <c r="T339">
        <v>0</v>
      </c>
      <c r="U339">
        <v>0</v>
      </c>
      <c r="V339">
        <v>0.71799999999999997</v>
      </c>
      <c r="W339">
        <v>1.141</v>
      </c>
      <c r="X339">
        <v>1.4350000000000001</v>
      </c>
      <c r="Y339">
        <v>1.5479999999999996</v>
      </c>
      <c r="Z339">
        <v>1.5810000000000004</v>
      </c>
      <c r="AA339">
        <v>1.4879999999999995</v>
      </c>
      <c r="AB339">
        <v>0.88499999999999979</v>
      </c>
      <c r="AC339">
        <v>0.62800000000000011</v>
      </c>
      <c r="AD339">
        <v>0.27899999999999991</v>
      </c>
      <c r="AE339">
        <v>0.10299999999999976</v>
      </c>
      <c r="AF339">
        <v>0.255</v>
      </c>
      <c r="AG339">
        <v>0.28999999999999998</v>
      </c>
      <c r="AH339">
        <v>0.97299999999999998</v>
      </c>
      <c r="AI339">
        <v>1.4550000000000001</v>
      </c>
      <c r="AJ339">
        <v>1.677</v>
      </c>
      <c r="AK339">
        <v>1.3380000000000001</v>
      </c>
      <c r="AL339">
        <v>1.31</v>
      </c>
      <c r="AM339">
        <v>1.4430000000000001</v>
      </c>
      <c r="AN339">
        <v>1.196</v>
      </c>
      <c r="AO339">
        <v>0.85399999999999998</v>
      </c>
      <c r="AP339">
        <v>0.39100000000000001</v>
      </c>
      <c r="AQ339">
        <v>8.7999999999999995E-2</v>
      </c>
      <c r="AR339">
        <v>0.14199999999999999</v>
      </c>
      <c r="AS339">
        <v>0.65400000000000003</v>
      </c>
      <c r="AT339">
        <v>0.93799999999999994</v>
      </c>
      <c r="AU339">
        <v>1.3160000000000001</v>
      </c>
      <c r="AV339">
        <v>1.0940000000000001</v>
      </c>
      <c r="AW339">
        <v>1.6240000000000001</v>
      </c>
      <c r="AX339">
        <v>1.46</v>
      </c>
      <c r="AY339">
        <v>1.5069999999999999</v>
      </c>
      <c r="BD3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320.07669720670395</v>
      </c>
      <c r="BE3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551.92110837988832</v>
      </c>
      <c r="BF3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931.1322100558657</v>
      </c>
      <c r="BG3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1323.4842905027933</v>
      </c>
      <c r="BH3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1629.4813675977653</v>
      </c>
      <c r="BI3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1689.5544134078209</v>
      </c>
      <c r="BJ3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1716.7750122905027</v>
      </c>
      <c r="BK3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1483.9919597765363</v>
      </c>
      <c r="BL3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1041.8918882681564</v>
      </c>
      <c r="BM3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669.25127597765356</v>
      </c>
      <c r="BN3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309.7516424581006</v>
      </c>
      <c r="BO3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261.88093407821231</v>
      </c>
      <c r="BP339">
        <f>SUM(Таб[[#This Row],[1]:[12]])</f>
        <v>11929.192799999997</v>
      </c>
    </row>
    <row r="340" spans="2:68" ht="25.5">
      <c r="B340" t="s">
        <v>384</v>
      </c>
      <c r="C340" t="str">
        <f>IFERROR(VLOOKUP(Таб[[#This Row],[Зелений Тариф ЕЦ]],Sheet6!$H$9:$I$29,2,FALSE),"")</f>
        <v>Земля</v>
      </c>
      <c r="G340" s="1" t="s">
        <v>898</v>
      </c>
      <c r="H340" t="s">
        <v>198</v>
      </c>
      <c r="J340" s="7">
        <v>9.8520000000000003</v>
      </c>
      <c r="K340" s="8"/>
      <c r="L340" s="8">
        <v>42636</v>
      </c>
      <c r="M340">
        <v>9</v>
      </c>
      <c r="N340" s="49" t="s">
        <v>60</v>
      </c>
      <c r="O340">
        <v>2016</v>
      </c>
      <c r="P340">
        <v>0.15989999999999999</v>
      </c>
      <c r="Q340" s="10">
        <v>0.05</v>
      </c>
      <c r="R340" s="11">
        <f>ROUND(Таб[[#This Row],[Зелений Тариф ЕЦ]]+Таб[[#This Row],[Зелений Тариф ЕЦ]]*Таб[[#This Row],[% надбавки]],4)</f>
        <v>0.16789999999999999</v>
      </c>
      <c r="S340" s="12">
        <v>43263</v>
      </c>
      <c r="T340">
        <v>0.621</v>
      </c>
      <c r="U340">
        <v>1.0780000000000001</v>
      </c>
      <c r="V340">
        <v>2.0649999999999995</v>
      </c>
      <c r="W340">
        <v>2.5080000000000005</v>
      </c>
      <c r="X340">
        <v>3.2129999999999992</v>
      </c>
      <c r="Y340">
        <v>3.3200000000000003</v>
      </c>
      <c r="Z340">
        <v>3.1300000000000008</v>
      </c>
      <c r="AA340">
        <v>2.895999999999999</v>
      </c>
      <c r="AB340">
        <v>2.2029999999999994</v>
      </c>
      <c r="AC340">
        <v>1.1380000000000017</v>
      </c>
      <c r="AD340">
        <v>0.56299999999999883</v>
      </c>
      <c r="AE340">
        <v>0.26699999999999946</v>
      </c>
      <c r="AF340">
        <v>0.33300000000000002</v>
      </c>
      <c r="AG340">
        <v>0.75600000000000001</v>
      </c>
      <c r="AH340">
        <v>1.552</v>
      </c>
      <c r="AI340">
        <v>2.9710000000000001</v>
      </c>
      <c r="AJ340">
        <v>3.4569999999999999</v>
      </c>
      <c r="AK340">
        <v>2.9550000000000001</v>
      </c>
      <c r="AL340">
        <v>2.8690000000000002</v>
      </c>
      <c r="AM340">
        <v>3.2869999999999999</v>
      </c>
      <c r="AN340">
        <v>2.04</v>
      </c>
      <c r="AO340">
        <v>1.87</v>
      </c>
      <c r="AP340">
        <v>0.48599999999999999</v>
      </c>
      <c r="AQ340">
        <v>0.27500000000000002</v>
      </c>
      <c r="AR340">
        <v>0.30199999999999999</v>
      </c>
      <c r="AS340">
        <v>0.82099999999999995</v>
      </c>
      <c r="AT340">
        <v>1.927</v>
      </c>
      <c r="AU340">
        <v>2.57</v>
      </c>
      <c r="AV340">
        <v>2.6629999999999998</v>
      </c>
      <c r="AW340">
        <v>3.2890000000000001</v>
      </c>
      <c r="AX340">
        <v>3.0640000000000001</v>
      </c>
      <c r="AY340">
        <v>3.0449999999999999</v>
      </c>
      <c r="BD3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317.24302020930054</v>
      </c>
      <c r="BE3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547.03488528759158</v>
      </c>
      <c r="BF3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922.88878606341973</v>
      </c>
      <c r="BG3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1311.7673269651427</v>
      </c>
      <c r="BH3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1615.0553756109844</v>
      </c>
      <c r="BI3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1674.5965876150763</v>
      </c>
      <c r="BJ3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1701.5761993044298</v>
      </c>
      <c r="BK3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1470.8540027885751</v>
      </c>
      <c r="BL3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1032.6678956959636</v>
      </c>
      <c r="BM3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663.32631498308285</v>
      </c>
      <c r="BN3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307.00937439609731</v>
      </c>
      <c r="BO3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259.56247108033676</v>
      </c>
      <c r="BP340">
        <f>SUM(Таб[[#This Row],[1]:[12]])</f>
        <v>11823.582240000002</v>
      </c>
    </row>
    <row r="341" spans="2:68" ht="25.5">
      <c r="B341" t="s">
        <v>384</v>
      </c>
      <c r="C341" t="str">
        <f>IFERROR(VLOOKUP(Таб[[#This Row],[Зелений Тариф ЕЦ]],Sheet6!$H$9:$I$29,2,FALSE),"")</f>
        <v>Земля</v>
      </c>
      <c r="G341" s="1" t="s">
        <v>898</v>
      </c>
      <c r="H341" t="s">
        <v>198</v>
      </c>
      <c r="J341" s="7">
        <v>9.8170000000000002</v>
      </c>
      <c r="K341" s="8"/>
      <c r="L341" s="8">
        <v>42719</v>
      </c>
      <c r="M341">
        <v>12</v>
      </c>
      <c r="N341" s="49" t="s">
        <v>71</v>
      </c>
      <c r="O341">
        <v>2016</v>
      </c>
      <c r="P341">
        <v>0.15989999999999999</v>
      </c>
      <c r="Q341" s="10">
        <v>0.05</v>
      </c>
      <c r="R341" s="11">
        <f>ROUND(Таб[[#This Row],[Зелений Тариф ЕЦ]]+Таб[[#This Row],[Зелений Тариф ЕЦ]]*Таб[[#This Row],[% надбавки]],4)</f>
        <v>0.16789999999999999</v>
      </c>
      <c r="S341" s="12">
        <v>43263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BD3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316.1159895853333</v>
      </c>
      <c r="BE3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545.09150110315534</v>
      </c>
      <c r="BF3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919.61015152096945</v>
      </c>
      <c r="BG3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1307.107171012668</v>
      </c>
      <c r="BH3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1609.3177651616966</v>
      </c>
      <c r="BI3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1668.647452356598</v>
      </c>
      <c r="BJ3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1695.5312168667874</v>
      </c>
      <c r="BK3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1465.6286789865449</v>
      </c>
      <c r="BL3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1028.9992622865689</v>
      </c>
      <c r="BM3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660.96979640569668</v>
      </c>
      <c r="BN3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305.91869959870962</v>
      </c>
      <c r="BO3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258.64035511527265</v>
      </c>
      <c r="BP341">
        <f>SUM(Таб[[#This Row],[1]:[12]])</f>
        <v>11781.578039999999</v>
      </c>
    </row>
    <row r="342" spans="2:68" ht="51">
      <c r="B342" t="s">
        <v>384</v>
      </c>
      <c r="C342" t="str">
        <f>IFERROR(VLOOKUP(Таб[[#This Row],[Зелений Тариф ЕЦ]],Sheet6!$H$9:$I$29,2,FALSE),"")</f>
        <v>Земля</v>
      </c>
      <c r="G342" s="1" t="s">
        <v>902</v>
      </c>
      <c r="H342" t="s">
        <v>122</v>
      </c>
      <c r="J342" s="7">
        <v>2.2570000000000001</v>
      </c>
      <c r="K342" s="8"/>
      <c r="L342" s="8">
        <v>43490</v>
      </c>
      <c r="M342">
        <v>1</v>
      </c>
      <c r="N342" s="49" t="s">
        <v>67</v>
      </c>
      <c r="O342">
        <v>2019</v>
      </c>
      <c r="P342">
        <v>0.15029999999999999</v>
      </c>
      <c r="Q342" s="10"/>
      <c r="R342" s="11">
        <f>ROUND(Таб[[#This Row],[Зелений Тариф ЕЦ]]+Таб[[#This Row],[Зелений Тариф ЕЦ]]*Таб[[#This Row],[% надбавки]],4)</f>
        <v>0.15029999999999999</v>
      </c>
      <c r="S342" s="12"/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0.33300000000000002</v>
      </c>
      <c r="AV342">
        <v>0.34699999999999998</v>
      </c>
      <c r="AW342">
        <v>0.30099999999999999</v>
      </c>
      <c r="AX342">
        <v>0.39300000000000002</v>
      </c>
      <c r="AY342">
        <v>0.34399999999999997</v>
      </c>
      <c r="BD3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72.677374808403513</v>
      </c>
      <c r="BE3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125.32051726493039</v>
      </c>
      <c r="BF3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211.42509035171926</v>
      </c>
      <c r="BG3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300.51348527814935</v>
      </c>
      <c r="BH3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369.9939081155087</v>
      </c>
      <c r="BI3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383.63423652529707</v>
      </c>
      <c r="BJ3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389.81501033598244</v>
      </c>
      <c r="BK3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336.95873774805261</v>
      </c>
      <c r="BL3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236.57444585726654</v>
      </c>
      <c r="BM3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151.9617836902982</v>
      </c>
      <c r="BN3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70.332943362971136</v>
      </c>
      <c r="BO3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59.463306661421051</v>
      </c>
      <c r="BP342">
        <f>SUM(Таб[[#This Row],[1]:[12]])</f>
        <v>2708.6708400000002</v>
      </c>
    </row>
    <row r="343" spans="2:68" ht="51">
      <c r="B343" t="s">
        <v>384</v>
      </c>
      <c r="C343" t="str">
        <f>IFERROR(VLOOKUP(Таб[[#This Row],[Зелений Тариф ЕЦ]],Sheet6!$H$9:$I$29,2,FALSE),"")</f>
        <v>Земля</v>
      </c>
      <c r="G343" s="1" t="s">
        <v>902</v>
      </c>
      <c r="H343" t="s">
        <v>122</v>
      </c>
      <c r="J343" s="7">
        <v>2.2570000000000001</v>
      </c>
      <c r="K343" s="8"/>
      <c r="L343" s="8">
        <v>43692</v>
      </c>
      <c r="M343">
        <v>8</v>
      </c>
      <c r="N343" s="49" t="s">
        <v>60</v>
      </c>
      <c r="O343">
        <v>2019</v>
      </c>
      <c r="P343">
        <v>0.15029999999999999</v>
      </c>
      <c r="Q343" s="10"/>
      <c r="R343" s="11">
        <f>ROUND(Таб[[#This Row],[Зелений Тариф ЕЦ]]+Таб[[#This Row],[Зелений Тариф ЕЦ]]*Таб[[#This Row],[% надбавки]],4)</f>
        <v>0.15029999999999999</v>
      </c>
      <c r="S343" s="12"/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BD3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72.677374808403513</v>
      </c>
      <c r="BE3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125.32051726493039</v>
      </c>
      <c r="BF3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211.42509035171926</v>
      </c>
      <c r="BG3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300.51348527814935</v>
      </c>
      <c r="BH3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369.9939081155087</v>
      </c>
      <c r="BI3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383.63423652529707</v>
      </c>
      <c r="BJ3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389.81501033598244</v>
      </c>
      <c r="BK3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336.95873774805261</v>
      </c>
      <c r="BL3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236.57444585726654</v>
      </c>
      <c r="BM3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151.9617836902982</v>
      </c>
      <c r="BN3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70.332943362971136</v>
      </c>
      <c r="BO3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59.463306661421051</v>
      </c>
      <c r="BP343">
        <f>SUM(Таб[[#This Row],[1]:[12]])</f>
        <v>2708.6708400000002</v>
      </c>
    </row>
    <row r="344" spans="2:68" ht="25.5">
      <c r="B344" t="s">
        <v>384</v>
      </c>
      <c r="C344" t="str">
        <f>IFERROR(VLOOKUP(Таб[[#This Row],[Зелений Тариф ЕЦ]],Sheet6!$H$9:$I$29,2,FALSE),"")</f>
        <v>Земля</v>
      </c>
      <c r="G344" s="1" t="s">
        <v>905</v>
      </c>
      <c r="H344" t="s">
        <v>136</v>
      </c>
      <c r="J344" s="7">
        <v>0.8</v>
      </c>
      <c r="K344" s="8"/>
      <c r="L344" s="8">
        <v>43643</v>
      </c>
      <c r="M344">
        <v>6</v>
      </c>
      <c r="N344" s="49" t="s">
        <v>57</v>
      </c>
      <c r="O344">
        <v>2019</v>
      </c>
      <c r="P344">
        <v>0.15029999999999999</v>
      </c>
      <c r="Q344" s="10"/>
      <c r="R344" s="11">
        <f>ROUND(Таб[[#This Row],[Зелений Тариф ЕЦ]]+Таб[[#This Row],[Зелений Тариф ЕЦ]]*Таб[[#This Row],[% надбавки]],4)</f>
        <v>0.15029999999999999</v>
      </c>
      <c r="S344" s="12"/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0.13400000000000001</v>
      </c>
      <c r="BD3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25.76069997639469</v>
      </c>
      <c r="BE3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44.420209929970895</v>
      </c>
      <c r="BF3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74.940218113148163</v>
      </c>
      <c r="BG3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106.51785034227711</v>
      </c>
      <c r="BH3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131.14538169800929</v>
      </c>
      <c r="BI3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135.98023447950271</v>
      </c>
      <c r="BJ3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138.17102714611693</v>
      </c>
      <c r="BK3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119.43597261782989</v>
      </c>
      <c r="BL3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83.8544779290267</v>
      </c>
      <c r="BM3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53.863281768825246</v>
      </c>
      <c r="BN3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24.929709654575504</v>
      </c>
      <c r="BO3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21.076936344322924</v>
      </c>
      <c r="BP344">
        <f>SUM(Таб[[#This Row],[1]:[12]])</f>
        <v>960.09599999999989</v>
      </c>
    </row>
    <row r="345" spans="2:68" ht="63.75">
      <c r="B345" t="s">
        <v>384</v>
      </c>
      <c r="C345" t="str">
        <f>IFERROR(VLOOKUP(Таб[[#This Row],[Зелений Тариф ЕЦ]],Sheet6!$H$9:$I$29,2,FALSE),"")</f>
        <v>Земля</v>
      </c>
      <c r="D345" t="s">
        <v>3368</v>
      </c>
      <c r="E345" t="s">
        <v>3368</v>
      </c>
      <c r="F345" t="s">
        <v>3369</v>
      </c>
      <c r="G345" s="139" t="s">
        <v>909</v>
      </c>
      <c r="H345" t="s">
        <v>101</v>
      </c>
      <c r="J345" s="7">
        <v>21.385000000000002</v>
      </c>
      <c r="K345" s="8"/>
      <c r="L345" s="8">
        <v>41249</v>
      </c>
      <c r="M345">
        <v>12</v>
      </c>
      <c r="N345" s="49" t="s">
        <v>71</v>
      </c>
      <c r="O345">
        <v>2012</v>
      </c>
      <c r="P345">
        <v>0.25850000000000001</v>
      </c>
      <c r="Q345" s="10"/>
      <c r="R345" s="11">
        <f>ROUND(Таб[[#This Row],[Зелений Тариф ЕЦ]]+Таб[[#This Row],[Зелений Тариф ЕЦ]]*Таб[[#This Row],[% надбавки]],4)</f>
        <v>0.25850000000000001</v>
      </c>
      <c r="S345" s="12"/>
      <c r="T345">
        <v>1.1319999999999999</v>
      </c>
      <c r="U345">
        <v>1.595</v>
      </c>
      <c r="V345">
        <v>2.5050000000000003</v>
      </c>
      <c r="W345">
        <v>2.9899999999999993</v>
      </c>
      <c r="X345">
        <v>3.5910000000000011</v>
      </c>
      <c r="Y345">
        <v>3.6239999999999988</v>
      </c>
      <c r="Z345">
        <v>3.6080000000000023</v>
      </c>
      <c r="AA345">
        <v>3.5879999999999974</v>
      </c>
      <c r="AB345">
        <v>3.1730000000000018</v>
      </c>
      <c r="AC345">
        <v>2.2659999999999982</v>
      </c>
      <c r="AD345">
        <v>0.91300000000000026</v>
      </c>
      <c r="AE345">
        <v>0.86899999999999977</v>
      </c>
      <c r="AF345">
        <v>1.1220000000000001</v>
      </c>
      <c r="AG345">
        <v>1.0129999999999999</v>
      </c>
      <c r="AH345">
        <v>1.91</v>
      </c>
      <c r="AI345">
        <v>3.61</v>
      </c>
      <c r="AJ345">
        <v>3.6829999999999998</v>
      </c>
      <c r="AK345">
        <v>3.4180000000000001</v>
      </c>
      <c r="AL345">
        <v>3.226</v>
      </c>
      <c r="AM345">
        <v>3.8250000000000002</v>
      </c>
      <c r="AN345">
        <v>2.907</v>
      </c>
      <c r="AO345">
        <v>2.7040000000000002</v>
      </c>
      <c r="AP345">
        <v>0.67900000000000005</v>
      </c>
      <c r="AQ345">
        <v>0.59099999999999997</v>
      </c>
      <c r="AR345">
        <v>0.77900000000000003</v>
      </c>
      <c r="AS345">
        <v>1.5449999999999999</v>
      </c>
      <c r="AT345">
        <v>3.02</v>
      </c>
      <c r="AU345">
        <v>2.7410000000000001</v>
      </c>
      <c r="AV345">
        <v>3.26</v>
      </c>
      <c r="AW345">
        <v>3.4780000000000002</v>
      </c>
      <c r="AX345">
        <v>3.5710000000000002</v>
      </c>
      <c r="AY345">
        <v>3.6440000000000001</v>
      </c>
      <c r="BD3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688.61571124400052</v>
      </c>
      <c r="BE3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1187.4077366905344</v>
      </c>
      <c r="BF3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2003.2457054370918</v>
      </c>
      <c r="BG3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2847.3552869619957</v>
      </c>
      <c r="BH3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3505.6799845149112</v>
      </c>
      <c r="BI3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3634.9216429302073</v>
      </c>
      <c r="BJ3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3693.4842693996384</v>
      </c>
      <c r="BK3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3192.6728430403655</v>
      </c>
      <c r="BL3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2241.5350131402947</v>
      </c>
      <c r="BM3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1439.8328507829099</v>
      </c>
      <c r="BN3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666.40230120387139</v>
      </c>
      <c r="BO3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563.41285465418218</v>
      </c>
      <c r="BP345">
        <f>SUM(Таб[[#This Row],[1]:[12]])</f>
        <v>25664.566200000001</v>
      </c>
    </row>
    <row r="346" spans="2:68" ht="63.75">
      <c r="B346" t="s">
        <v>384</v>
      </c>
      <c r="C346" t="str">
        <f>IFERROR(VLOOKUP(Таб[[#This Row],[Зелений Тариф ЕЦ]],Sheet6!$H$9:$I$29,2,FALSE),"")</f>
        <v>Земля</v>
      </c>
      <c r="D346" t="s">
        <v>3368</v>
      </c>
      <c r="E346" t="s">
        <v>3368</v>
      </c>
      <c r="F346" t="s">
        <v>3369</v>
      </c>
      <c r="G346" s="139" t="s">
        <v>912</v>
      </c>
      <c r="H346" t="s">
        <v>101</v>
      </c>
      <c r="J346" s="7">
        <v>21.983000000000001</v>
      </c>
      <c r="K346" s="8"/>
      <c r="L346" s="8">
        <v>41249</v>
      </c>
      <c r="M346">
        <v>12</v>
      </c>
      <c r="N346" s="49" t="s">
        <v>71</v>
      </c>
      <c r="O346">
        <v>2012</v>
      </c>
      <c r="P346">
        <v>0.25850000000000001</v>
      </c>
      <c r="Q346" s="10"/>
      <c r="R346" s="11">
        <f>ROUND(Таб[[#This Row],[Зелений Тариф ЕЦ]]+Таб[[#This Row],[Зелений Тариф ЕЦ]]*Таб[[#This Row],[% надбавки]],4)</f>
        <v>0.25850000000000001</v>
      </c>
      <c r="S346" s="12"/>
      <c r="T346">
        <v>1.153</v>
      </c>
      <c r="U346">
        <v>1.6029999999999998</v>
      </c>
      <c r="V346">
        <v>2.5329999999999999</v>
      </c>
      <c r="W346">
        <v>3.0340000000000007</v>
      </c>
      <c r="X346">
        <v>3.6530000000000005</v>
      </c>
      <c r="Y346">
        <v>3.6869999999999994</v>
      </c>
      <c r="Z346">
        <v>3.6709999999999994</v>
      </c>
      <c r="AA346">
        <v>3.6290000000000013</v>
      </c>
      <c r="AB346">
        <v>3.2189999999999976</v>
      </c>
      <c r="AC346">
        <v>2.2970000000000006</v>
      </c>
      <c r="AD346">
        <v>0.92300000000000182</v>
      </c>
      <c r="AE346">
        <v>0.8819999999999979</v>
      </c>
      <c r="AF346">
        <v>1.1419999999999999</v>
      </c>
      <c r="AG346">
        <v>1.02</v>
      </c>
      <c r="AH346">
        <v>1.94</v>
      </c>
      <c r="AI346">
        <v>3.6709999999999998</v>
      </c>
      <c r="AJ346">
        <v>3.734</v>
      </c>
      <c r="AK346">
        <v>3.4510000000000001</v>
      </c>
      <c r="AL346">
        <v>3.278</v>
      </c>
      <c r="AM346">
        <v>3.8780000000000001</v>
      </c>
      <c r="AN346">
        <v>2.9460000000000002</v>
      </c>
      <c r="AO346">
        <v>2.7360000000000002</v>
      </c>
      <c r="AP346">
        <v>0.68600000000000005</v>
      </c>
      <c r="AQ346">
        <v>0.59899999999999998</v>
      </c>
      <c r="AR346">
        <v>0.79500000000000004</v>
      </c>
      <c r="AS346">
        <v>1.5740000000000001</v>
      </c>
      <c r="AT346">
        <v>3.0640000000000001</v>
      </c>
      <c r="AU346">
        <v>2.7730000000000001</v>
      </c>
      <c r="AV346">
        <v>3.2919999999999998</v>
      </c>
      <c r="AW346">
        <v>3.512</v>
      </c>
      <c r="AX346">
        <v>3.6040000000000001</v>
      </c>
      <c r="AY346">
        <v>3.677</v>
      </c>
      <c r="BD3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707.8718344763555</v>
      </c>
      <c r="BE3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1220.6118436131876</v>
      </c>
      <c r="BF3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2059.26351847667</v>
      </c>
      <c r="BG3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2926.9773800928479</v>
      </c>
      <c r="BH3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3603.7111573341726</v>
      </c>
      <c r="BI3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3736.5668682036353</v>
      </c>
      <c r="BJ3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3796.7671121913604</v>
      </c>
      <c r="BK3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3281.9512325721935</v>
      </c>
      <c r="BL3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2304.2162353922417</v>
      </c>
      <c r="BM3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1480.0956539051067</v>
      </c>
      <c r="BN3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685.03725917066663</v>
      </c>
      <c r="BO3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579.16786457156354</v>
      </c>
      <c r="BP346">
        <f>SUM(Таб[[#This Row],[1]:[12]])</f>
        <v>26382.237959999999</v>
      </c>
    </row>
    <row r="347" spans="2:68" ht="63.75">
      <c r="B347" t="s">
        <v>384</v>
      </c>
      <c r="C347" t="str">
        <f>IFERROR(VLOOKUP(Таб[[#This Row],[Зелений Тариф ЕЦ]],Sheet6!$H$9:$I$29,2,FALSE),"")</f>
        <v>Земля</v>
      </c>
      <c r="G347" s="1" t="s">
        <v>914</v>
      </c>
      <c r="H347" t="s">
        <v>136</v>
      </c>
      <c r="J347" s="7">
        <v>4.95</v>
      </c>
      <c r="K347" s="8"/>
      <c r="L347" s="8">
        <v>43508</v>
      </c>
      <c r="M347">
        <v>2</v>
      </c>
      <c r="N347" s="49" t="s">
        <v>67</v>
      </c>
      <c r="O347">
        <v>2019</v>
      </c>
      <c r="P347">
        <v>0.15029999999999999</v>
      </c>
      <c r="Q347" s="10"/>
      <c r="R347" s="11">
        <f>ROUND(Таб[[#This Row],[Зелений Тариф ЕЦ]]+Таб[[#This Row],[Зелений Тариф ЕЦ]]*Таб[[#This Row],[% надбавки]],4)</f>
        <v>0.15029999999999999</v>
      </c>
      <c r="S347" s="12"/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0.67100000000000004</v>
      </c>
      <c r="AV347">
        <v>0.72699999999999998</v>
      </c>
      <c r="AW347">
        <v>0.75900000000000001</v>
      </c>
      <c r="AX347">
        <v>0.63700000000000001</v>
      </c>
      <c r="AY347">
        <v>0.76300000000000001</v>
      </c>
      <c r="BD3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159.39433110394214</v>
      </c>
      <c r="BE3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274.85004894169487</v>
      </c>
      <c r="BF3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463.69259957510428</v>
      </c>
      <c r="BG3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659.07919899283979</v>
      </c>
      <c r="BH3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811.46204925643246</v>
      </c>
      <c r="BI3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841.37770084192312</v>
      </c>
      <c r="BJ3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854.9332304665985</v>
      </c>
      <c r="BK3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739.01008057282252</v>
      </c>
      <c r="BL3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518.84958218585257</v>
      </c>
      <c r="BM3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333.27905594460617</v>
      </c>
      <c r="BN3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154.25257848768592</v>
      </c>
      <c r="BO3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130.41354363049805</v>
      </c>
      <c r="BP347">
        <f>SUM(Таб[[#This Row],[1]:[12]])</f>
        <v>5940.594000000001</v>
      </c>
    </row>
    <row r="348" spans="2:68" ht="25.5">
      <c r="B348" t="s">
        <v>384</v>
      </c>
      <c r="C348" t="str">
        <f>IFERROR(VLOOKUP(Таб[[#This Row],[Зелений Тариф ЕЦ]],Sheet6!$H$9:$I$29,2,FALSE),"")</f>
        <v>Земля</v>
      </c>
      <c r="D348" t="s">
        <v>3387</v>
      </c>
      <c r="F348" t="s">
        <v>3287</v>
      </c>
      <c r="G348" s="1" t="s">
        <v>917</v>
      </c>
      <c r="H348" t="s">
        <v>69</v>
      </c>
      <c r="J348" s="7">
        <v>22.693000000000001</v>
      </c>
      <c r="K348" s="8"/>
      <c r="L348" s="8">
        <v>43581</v>
      </c>
      <c r="M348">
        <v>4</v>
      </c>
      <c r="N348" s="49" t="s">
        <v>57</v>
      </c>
      <c r="O348">
        <v>2019</v>
      </c>
      <c r="P348">
        <v>0.15029999999999999</v>
      </c>
      <c r="Q348" s="10"/>
      <c r="R348" s="11">
        <f>ROUND(Таб[[#This Row],[Зелений Тариф ЕЦ]]+Таб[[#This Row],[Зелений Тариф ЕЦ]]*Таб[[#This Row],[% надбавки]],4)</f>
        <v>0.15029999999999999</v>
      </c>
      <c r="S348" s="12"/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1.962</v>
      </c>
      <c r="AX348">
        <v>3.79</v>
      </c>
      <c r="AY348">
        <v>3.48</v>
      </c>
      <c r="BD3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730.73445570540582</v>
      </c>
      <c r="BE3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1260.0347799260367</v>
      </c>
      <c r="BF3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2125.7729620520895</v>
      </c>
      <c r="BG3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3021.511972271619</v>
      </c>
      <c r="BH3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3720.1026835911557</v>
      </c>
      <c r="BI3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3857.2493263041943</v>
      </c>
      <c r="BJ3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3919.393898783539</v>
      </c>
      <c r="BK3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3387.9506582705171</v>
      </c>
      <c r="BL3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2378.6370845542533</v>
      </c>
      <c r="BM3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1527.899316474939</v>
      </c>
      <c r="BN3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707.16237648910237</v>
      </c>
      <c r="BO3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597.87364557715011</v>
      </c>
      <c r="BP348">
        <f>SUM(Таб[[#This Row],[1]:[12]])</f>
        <v>27234.323160000004</v>
      </c>
    </row>
    <row r="349" spans="2:68" ht="38.25">
      <c r="B349" t="s">
        <v>384</v>
      </c>
      <c r="C349" t="str">
        <f>IFERROR(VLOOKUP(Таб[[#This Row],[Зелений Тариф ЕЦ]],Sheet6!$H$9:$I$29,2,FALSE),"")</f>
        <v>Земля</v>
      </c>
      <c r="G349" s="1" t="s">
        <v>920</v>
      </c>
      <c r="H349" t="s">
        <v>172</v>
      </c>
      <c r="J349" s="7">
        <v>4.2309999999999999</v>
      </c>
      <c r="K349" s="8"/>
      <c r="L349" s="8">
        <v>43613</v>
      </c>
      <c r="M349">
        <v>5</v>
      </c>
      <c r="N349" s="49" t="s">
        <v>57</v>
      </c>
      <c r="O349">
        <v>2019</v>
      </c>
      <c r="P349">
        <v>0.15029999999999999</v>
      </c>
      <c r="Q349" s="10"/>
      <c r="R349" s="11">
        <f>ROUND(Таб[[#This Row],[Зелений Тариф ЕЦ]]+Таб[[#This Row],[Зелений Тариф ЕЦ]]*Таб[[#This Row],[% надбавки]],4)</f>
        <v>0.15029999999999999</v>
      </c>
      <c r="S349" s="12"/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0.68899999999999995</v>
      </c>
      <c r="AX349">
        <v>0.66100000000000003</v>
      </c>
      <c r="AY349">
        <v>0.60799999999999998</v>
      </c>
      <c r="BD3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136.24190200015738</v>
      </c>
      <c r="BE3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234.9273852671335</v>
      </c>
      <c r="BF3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396.34007854591232</v>
      </c>
      <c r="BG3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563.34628099771817</v>
      </c>
      <c r="BH3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693.59513745534662</v>
      </c>
      <c r="BI3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719.16546510347007</v>
      </c>
      <c r="BJ3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730.7520198190258</v>
      </c>
      <c r="BK3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631.66700018254789</v>
      </c>
      <c r="BL3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443.48537014713986</v>
      </c>
      <c r="BM3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284.86943145487447</v>
      </c>
      <c r="BN3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131.84700193563617</v>
      </c>
      <c r="BO3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111.47064709103785</v>
      </c>
      <c r="BP349">
        <f>SUM(Таб[[#This Row],[1]:[12]])</f>
        <v>5077.7077200000012</v>
      </c>
    </row>
    <row r="350" spans="2:68" ht="25.5">
      <c r="B350" t="s">
        <v>384</v>
      </c>
      <c r="C350" t="str">
        <f>IFERROR(VLOOKUP(Таб[[#This Row],[Зелений Тариф ЕЦ]],Sheet6!$H$9:$I$29,2,FALSE),"")</f>
        <v>Земля</v>
      </c>
      <c r="D350" t="s">
        <v>3365</v>
      </c>
      <c r="E350" t="s">
        <v>3363</v>
      </c>
      <c r="F350" t="s">
        <v>3364</v>
      </c>
      <c r="G350" s="1" t="s">
        <v>922</v>
      </c>
      <c r="H350" t="s">
        <v>82</v>
      </c>
      <c r="J350" s="7">
        <v>12.1</v>
      </c>
      <c r="K350" s="8"/>
      <c r="L350" s="8">
        <v>43641</v>
      </c>
      <c r="M350">
        <v>6</v>
      </c>
      <c r="N350" s="49" t="s">
        <v>57</v>
      </c>
      <c r="O350">
        <v>2019</v>
      </c>
      <c r="P350">
        <v>0.15029999999999999</v>
      </c>
      <c r="Q350" s="10">
        <v>0.05</v>
      </c>
      <c r="R350" s="11">
        <f>ROUND(Таб[[#This Row],[Зелений Тариф ЕЦ]]+Таб[[#This Row],[Зелений Тариф ЕЦ]]*Таб[[#This Row],[% надбавки]],4)</f>
        <v>0.1578</v>
      </c>
      <c r="S350" s="12">
        <v>43676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1.1319999999999999</v>
      </c>
      <c r="AY350">
        <v>2.0350000000000001</v>
      </c>
      <c r="BD3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389.63058714296955</v>
      </c>
      <c r="BE3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671.85567519080973</v>
      </c>
      <c r="BF3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1133.4707989613657</v>
      </c>
      <c r="BG3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1611.0824864269414</v>
      </c>
      <c r="BH3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1983.5738981823906</v>
      </c>
      <c r="BI3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2056.7010465024787</v>
      </c>
      <c r="BJ3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2089.8367855850183</v>
      </c>
      <c r="BK3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1806.4690858446768</v>
      </c>
      <c r="BL3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1268.2989786765283</v>
      </c>
      <c r="BM3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814.6821367534817</v>
      </c>
      <c r="BN3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377.0618585254544</v>
      </c>
      <c r="BO3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318.78866220788422</v>
      </c>
      <c r="BP350">
        <f>SUM(Таб[[#This Row],[1]:[12]])</f>
        <v>14521.451999999999</v>
      </c>
    </row>
    <row r="351" spans="2:68" ht="25.5">
      <c r="B351" t="s">
        <v>384</v>
      </c>
      <c r="C351" t="str">
        <f>IFERROR(VLOOKUP(Таб[[#This Row],[Зелений Тариф ЕЦ]],Sheet6!$H$9:$I$29,2,FALSE),"")</f>
        <v>Земля</v>
      </c>
      <c r="D351" t="s">
        <v>3365</v>
      </c>
      <c r="E351" t="s">
        <v>3363</v>
      </c>
      <c r="F351" t="s">
        <v>3364</v>
      </c>
      <c r="G351" s="1" t="s">
        <v>925</v>
      </c>
      <c r="H351" t="s">
        <v>82</v>
      </c>
      <c r="J351" s="7">
        <v>12.494</v>
      </c>
      <c r="K351" s="8"/>
      <c r="L351" s="8">
        <v>43641</v>
      </c>
      <c r="M351">
        <v>6</v>
      </c>
      <c r="N351" s="49" t="s">
        <v>57</v>
      </c>
      <c r="O351">
        <v>2019</v>
      </c>
      <c r="P351">
        <v>0.15029999999999999</v>
      </c>
      <c r="Q351" s="10">
        <v>0.05</v>
      </c>
      <c r="R351" s="11">
        <f>ROUND(Таб[[#This Row],[Зелений Тариф ЕЦ]]+Таб[[#This Row],[Зелений Тариф ЕЦ]]*Таб[[#This Row],[% надбавки]],4)</f>
        <v>0.1578</v>
      </c>
      <c r="S351" s="12">
        <v>43676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BD3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402.31773188134389</v>
      </c>
      <c r="BE3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693.73262858132034</v>
      </c>
      <c r="BF3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1170.3788563820915</v>
      </c>
      <c r="BG3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1663.5425277205129</v>
      </c>
      <c r="BH3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2048.1629986686603</v>
      </c>
      <c r="BI3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2123.671311983634</v>
      </c>
      <c r="BJ3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2157.8860164544808</v>
      </c>
      <c r="BK3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1865.2913023589581</v>
      </c>
      <c r="BL3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1309.5973090565744</v>
      </c>
      <c r="BM3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841.20980302462817</v>
      </c>
      <c r="BN3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389.33974053033285</v>
      </c>
      <c r="BO3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329.16905335746321</v>
      </c>
      <c r="BP351">
        <f>SUM(Таб[[#This Row],[1]:[12]])</f>
        <v>14994.299280000003</v>
      </c>
    </row>
    <row r="352" spans="2:68" ht="25.5">
      <c r="B352" t="s">
        <v>384</v>
      </c>
      <c r="C352" t="str">
        <f>IFERROR(VLOOKUP(Таб[[#This Row],[Зелений Тариф ЕЦ]],Sheet6!$H$9:$I$29,2,FALSE),"")</f>
        <v>Земля</v>
      </c>
      <c r="D352" t="s">
        <v>3365</v>
      </c>
      <c r="E352" t="s">
        <v>3363</v>
      </c>
      <c r="F352" t="s">
        <v>3364</v>
      </c>
      <c r="G352" s="1" t="s">
        <v>929</v>
      </c>
      <c r="H352" t="s">
        <v>82</v>
      </c>
      <c r="I352" t="s">
        <v>931</v>
      </c>
      <c r="J352" s="7">
        <v>10.048999999999999</v>
      </c>
      <c r="K352" s="8"/>
      <c r="L352" s="8">
        <v>43641</v>
      </c>
      <c r="M352">
        <v>6</v>
      </c>
      <c r="N352" s="49" t="s">
        <v>57</v>
      </c>
      <c r="O352">
        <v>2019</v>
      </c>
      <c r="P352">
        <v>0.15029999999999999</v>
      </c>
      <c r="Q352" s="10">
        <v>0.05</v>
      </c>
      <c r="R352" s="11">
        <f>ROUND(Таб[[#This Row],[Зелений Тариф ЕЦ]]+Таб[[#This Row],[Зелений Тариф ЕЦ]]*Таб[[#This Row],[% надбавки]],4)</f>
        <v>0.1578</v>
      </c>
      <c r="S352" s="12">
        <v>43676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BD3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323.58659257848774</v>
      </c>
      <c r="BE3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557.97336198284677</v>
      </c>
      <c r="BF3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941.34281477378238</v>
      </c>
      <c r="BG3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1337.9973476119285</v>
      </c>
      <c r="BH3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1647.3499258541192</v>
      </c>
      <c r="BI3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1708.0817203556533</v>
      </c>
      <c r="BJ3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1735.6008147391608</v>
      </c>
      <c r="BK3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1500.2651110457157</v>
      </c>
      <c r="BL3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1053.3170608859864</v>
      </c>
      <c r="BM3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676.59014811865597</v>
      </c>
      <c r="BN3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313.14831539853651</v>
      </c>
      <c r="BO3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264.75266665512629</v>
      </c>
      <c r="BP352">
        <f>SUM(Таб[[#This Row],[1]:[12]])</f>
        <v>12060.005880000001</v>
      </c>
    </row>
    <row r="353" spans="2:68" ht="25.5">
      <c r="B353" t="s">
        <v>384</v>
      </c>
      <c r="C353" t="str">
        <f>IFERROR(VLOOKUP(Таб[[#This Row],[Зелений Тариф ЕЦ]],Sheet6!$H$9:$I$29,2,FALSE),"")</f>
        <v>Земля</v>
      </c>
      <c r="D353" t="s">
        <v>3365</v>
      </c>
      <c r="E353" t="s">
        <v>3363</v>
      </c>
      <c r="F353" t="s">
        <v>3364</v>
      </c>
      <c r="G353" s="1" t="s">
        <v>933</v>
      </c>
      <c r="H353" t="s">
        <v>82</v>
      </c>
      <c r="I353" t="s">
        <v>931</v>
      </c>
      <c r="J353" s="7">
        <v>7.4989999999999997</v>
      </c>
      <c r="K353" s="8"/>
      <c r="L353" s="8">
        <v>43641</v>
      </c>
      <c r="M353">
        <v>6</v>
      </c>
      <c r="N353" s="49" t="s">
        <v>57</v>
      </c>
      <c r="O353">
        <v>2019</v>
      </c>
      <c r="P353">
        <v>0.15029999999999999</v>
      </c>
      <c r="Q353" s="10">
        <v>0.05</v>
      </c>
      <c r="R353" s="11">
        <f>ROUND(Таб[[#This Row],[Зелений Тариф ЕЦ]]+Таб[[#This Row],[Зелений Тариф ЕЦ]]*Таб[[#This Row],[% надбавки]],4)</f>
        <v>0.1578</v>
      </c>
      <c r="S353" s="12">
        <v>43676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0.79800000000000004</v>
      </c>
      <c r="AY353">
        <v>1.258</v>
      </c>
      <c r="BD3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241.47436140372969</v>
      </c>
      <c r="BE3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416.38394283106459</v>
      </c>
      <c r="BF3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702.47086953812254</v>
      </c>
      <c r="BG3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998.47169964592013</v>
      </c>
      <c r="BH3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1229.3240216917143</v>
      </c>
      <c r="BI3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1274.6447229522387</v>
      </c>
      <c r="BJ3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1295.1806657109134</v>
      </c>
      <c r="BK3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1119.5629483263829</v>
      </c>
      <c r="BL3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786.03091248721375</v>
      </c>
      <c r="BM3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504.90093748052561</v>
      </c>
      <c r="BN3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233.6848658745771</v>
      </c>
      <c r="BO3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197.56993205759699</v>
      </c>
      <c r="BP353">
        <f>SUM(Таб[[#This Row],[1]:[12]])</f>
        <v>8999.6998800000001</v>
      </c>
    </row>
    <row r="354" spans="2:68" ht="25.5">
      <c r="B354" t="s">
        <v>384</v>
      </c>
      <c r="C354" t="str">
        <f>IFERROR(VLOOKUP(Таб[[#This Row],[Зелений Тариф ЕЦ]],Sheet6!$H$9:$I$29,2,FALSE),"")</f>
        <v>Земля</v>
      </c>
      <c r="D354" t="s">
        <v>3366</v>
      </c>
      <c r="F354" t="s">
        <v>3287</v>
      </c>
      <c r="G354" s="1" t="s">
        <v>936</v>
      </c>
      <c r="H354" t="s">
        <v>73</v>
      </c>
      <c r="J354" s="7">
        <v>19.981999999999999</v>
      </c>
      <c r="K354" s="8"/>
      <c r="L354" s="8">
        <v>43096</v>
      </c>
      <c r="M354">
        <v>12</v>
      </c>
      <c r="N354" s="49" t="s">
        <v>71</v>
      </c>
      <c r="O354">
        <v>2017</v>
      </c>
      <c r="P354">
        <v>0.15029999999999999</v>
      </c>
      <c r="Q354" s="10">
        <v>0.05</v>
      </c>
      <c r="R354" s="11">
        <f>ROUND(Таб[[#This Row],[Зелений Тариф ЕЦ]]+Таб[[#This Row],[Зелений Тариф ЕЦ]]*Таб[[#This Row],[% надбавки]],4)</f>
        <v>0.1578</v>
      </c>
      <c r="S354" s="12">
        <v>43144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1.0049999999999999</v>
      </c>
      <c r="AF354">
        <v>0.59799999999999998</v>
      </c>
      <c r="AG354">
        <v>0.92500000000000004</v>
      </c>
      <c r="AH354">
        <v>1.6240000000000001</v>
      </c>
      <c r="AI354">
        <v>3.2730000000000001</v>
      </c>
      <c r="AJ354">
        <v>3.4780000000000002</v>
      </c>
      <c r="AK354">
        <v>3.3220000000000001</v>
      </c>
      <c r="AL354">
        <v>3.0129999999999999</v>
      </c>
      <c r="AM354">
        <v>3.3210000000000002</v>
      </c>
      <c r="AN354">
        <v>2.1309999999999998</v>
      </c>
      <c r="AO354">
        <v>2.3620000000000001</v>
      </c>
      <c r="AP354">
        <v>0.81299999999999994</v>
      </c>
      <c r="AQ354">
        <v>0.376</v>
      </c>
      <c r="AR354">
        <v>0.55900000000000005</v>
      </c>
      <c r="AS354">
        <v>0.97899999999999998</v>
      </c>
      <c r="AT354">
        <v>2.3370000000000002</v>
      </c>
      <c r="AU354">
        <v>3</v>
      </c>
      <c r="AV354">
        <v>3.073</v>
      </c>
      <c r="AW354">
        <v>3.2629999999999999</v>
      </c>
      <c r="AX354">
        <v>3.238</v>
      </c>
      <c r="AY354">
        <v>3.13</v>
      </c>
      <c r="BD3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643.43788366039826</v>
      </c>
      <c r="BE3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1109.5057935258478</v>
      </c>
      <c r="BF3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1871.8192979211581</v>
      </c>
      <c r="BG3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2660.5496069242272</v>
      </c>
      <c r="BH3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3275.6837713620271</v>
      </c>
      <c r="BI3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3396.446306711779</v>
      </c>
      <c r="BJ3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3451.1668305421349</v>
      </c>
      <c r="BK3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2983.2120060618463</v>
      </c>
      <c r="BL3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2094.4752224722638</v>
      </c>
      <c r="BM3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1345.3701203808323</v>
      </c>
      <c r="BN3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622.68182289715946</v>
      </c>
      <c r="BO3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526.44917754032576</v>
      </c>
      <c r="BP354">
        <f>SUM(Таб[[#This Row],[1]:[12]])</f>
        <v>23980.797840000003</v>
      </c>
    </row>
    <row r="355" spans="2:68" ht="25.5">
      <c r="B355" t="s">
        <v>384</v>
      </c>
      <c r="C355" t="str">
        <f>IFERROR(VLOOKUP(Таб[[#This Row],[Зелений Тариф ЕЦ]],Sheet6!$H$9:$I$29,2,FALSE),"")</f>
        <v>Земля</v>
      </c>
      <c r="D355" t="s">
        <v>3366</v>
      </c>
      <c r="F355" t="s">
        <v>3287</v>
      </c>
      <c r="G355" s="1" t="s">
        <v>939</v>
      </c>
      <c r="H355" t="s">
        <v>73</v>
      </c>
      <c r="J355" s="7">
        <v>17.920000000000002</v>
      </c>
      <c r="K355" s="8"/>
      <c r="L355" s="8">
        <v>43300</v>
      </c>
      <c r="M355">
        <v>7</v>
      </c>
      <c r="N355" s="49" t="s">
        <v>60</v>
      </c>
      <c r="O355">
        <v>2018</v>
      </c>
      <c r="P355">
        <v>0.15029999999999999</v>
      </c>
      <c r="Q355" s="10">
        <v>0.05</v>
      </c>
      <c r="R355" s="11">
        <f>ROUND(Таб[[#This Row],[Зелений Тариф ЕЦ]]+Таб[[#This Row],[Зелений Тариф ЕЦ]]*Таб[[#This Row],[% надбавки]],4)</f>
        <v>0.1578</v>
      </c>
      <c r="S355" s="12">
        <v>43371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1.9710000000000001</v>
      </c>
      <c r="AN355">
        <v>2.012</v>
      </c>
      <c r="AO355">
        <v>2.1269999999999998</v>
      </c>
      <c r="AP355">
        <v>0.749</v>
      </c>
      <c r="AQ355">
        <v>0.26100000000000001</v>
      </c>
      <c r="AR355">
        <v>0.46500000000000002</v>
      </c>
      <c r="AS355">
        <v>0.88900000000000001</v>
      </c>
      <c r="AT355">
        <v>2.2160000000000002</v>
      </c>
      <c r="AU355">
        <v>2.6179999999999999</v>
      </c>
      <c r="AV355">
        <v>2.6819999999999999</v>
      </c>
      <c r="AW355">
        <v>2.8079999999999998</v>
      </c>
      <c r="AX355">
        <v>3.081</v>
      </c>
      <c r="AY355">
        <v>2.9169999999999998</v>
      </c>
      <c r="BD3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577.03967947124102</v>
      </c>
      <c r="BE3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995.01270243134798</v>
      </c>
      <c r="BF3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1678.6608857345188</v>
      </c>
      <c r="BG3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2385.999847667008</v>
      </c>
      <c r="BH3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2937.6565500354081</v>
      </c>
      <c r="BI3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3045.9572523408615</v>
      </c>
      <c r="BJ3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3095.0310080730196</v>
      </c>
      <c r="BK3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2675.3657866393896</v>
      </c>
      <c r="BL3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1878.3403056101981</v>
      </c>
      <c r="BM3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1206.5375116216856</v>
      </c>
      <c r="BN3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558.42549626249127</v>
      </c>
      <c r="BO3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472.12337411283352</v>
      </c>
      <c r="BP355">
        <f>SUM(Таб[[#This Row],[1]:[12]])</f>
        <v>21506.150400000002</v>
      </c>
    </row>
    <row r="356" spans="2:68" ht="25.5">
      <c r="B356" t="s">
        <v>384</v>
      </c>
      <c r="C356" t="str">
        <f>IFERROR(VLOOKUP(Таб[[#This Row],[Зелений Тариф ЕЦ]],Sheet6!$H$9:$I$29,2,FALSE),"")</f>
        <v>Земля</v>
      </c>
      <c r="D356" t="s">
        <v>3366</v>
      </c>
      <c r="F356" t="s">
        <v>3287</v>
      </c>
      <c r="G356" s="1" t="s">
        <v>942</v>
      </c>
      <c r="H356" t="s">
        <v>73</v>
      </c>
      <c r="J356" s="7">
        <v>21.757999999999999</v>
      </c>
      <c r="K356" s="8"/>
      <c r="L356" s="8">
        <v>43277</v>
      </c>
      <c r="M356">
        <v>6</v>
      </c>
      <c r="N356" s="49" t="s">
        <v>57</v>
      </c>
      <c r="O356">
        <v>2018</v>
      </c>
      <c r="P356">
        <v>0.15029999999999999</v>
      </c>
      <c r="Q356" s="10">
        <v>0.05</v>
      </c>
      <c r="R356" s="11">
        <f>ROUND(Таб[[#This Row],[Зелений Тариф ЕЦ]]+Таб[[#This Row],[Зелений Тариф ЕЦ]]*Таб[[#This Row],[% надбавки]],4)</f>
        <v>0.1578</v>
      </c>
      <c r="S356" s="12">
        <v>43371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1.893</v>
      </c>
      <c r="AL356">
        <v>3.2309999999999999</v>
      </c>
      <c r="AM356">
        <v>3.681</v>
      </c>
      <c r="AN356">
        <v>2.4239999999999999</v>
      </c>
      <c r="AO356">
        <v>2.5569999999999999</v>
      </c>
      <c r="AP356">
        <v>0.88700000000000001</v>
      </c>
      <c r="AQ356">
        <v>0.311</v>
      </c>
      <c r="AR356">
        <v>0.54400000000000004</v>
      </c>
      <c r="AS356">
        <v>1.0389999999999999</v>
      </c>
      <c r="AT356">
        <v>2.7029999999999998</v>
      </c>
      <c r="AU356">
        <v>3.1760000000000002</v>
      </c>
      <c r="AV356">
        <v>3.2370000000000001</v>
      </c>
      <c r="AW356">
        <v>3.387</v>
      </c>
      <c r="AX356">
        <v>3.677</v>
      </c>
      <c r="AY356">
        <v>3.472</v>
      </c>
      <c r="BD3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700.62663760799433</v>
      </c>
      <c r="BE3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1208.1186595703832</v>
      </c>
      <c r="BF3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2038.1865821323468</v>
      </c>
      <c r="BG3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2897.0192346840818</v>
      </c>
      <c r="BH3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3566.8265187316074</v>
      </c>
      <c r="BI3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3698.3224272562752</v>
      </c>
      <c r="BJ3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3757.9065108065151</v>
      </c>
      <c r="BK3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3248.359865273429</v>
      </c>
      <c r="BL3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2280.6321634747032</v>
      </c>
      <c r="BM3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1464.9466059076244</v>
      </c>
      <c r="BN3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678.02577833031717</v>
      </c>
      <c r="BO3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573.23997622472268</v>
      </c>
      <c r="BP356">
        <f>SUM(Таб[[#This Row],[1]:[12]])</f>
        <v>26112.210960000004</v>
      </c>
    </row>
    <row r="357" spans="2:68" ht="38.25">
      <c r="B357" t="s">
        <v>384</v>
      </c>
      <c r="C357" t="str">
        <f>IFERROR(VLOOKUP(Таб[[#This Row],[Зелений Тариф ЕЦ]],Sheet6!$H$9:$I$29,2,FALSE),"")</f>
        <v>Земля</v>
      </c>
      <c r="D357" t="s">
        <v>3368</v>
      </c>
      <c r="E357" t="s">
        <v>3368</v>
      </c>
      <c r="F357" t="s">
        <v>3369</v>
      </c>
      <c r="G357" s="139" t="s">
        <v>946</v>
      </c>
      <c r="H357" t="s">
        <v>82</v>
      </c>
      <c r="J357" s="7">
        <v>29.306999999999999</v>
      </c>
      <c r="K357" s="8"/>
      <c r="L357" s="8">
        <v>41340</v>
      </c>
      <c r="M357">
        <v>3</v>
      </c>
      <c r="N357" s="49" t="s">
        <v>67</v>
      </c>
      <c r="O357">
        <v>2013</v>
      </c>
      <c r="P357">
        <v>0.25850000000000001</v>
      </c>
      <c r="Q357" s="10"/>
      <c r="R357" s="11">
        <f>ROUND(Таб[[#This Row],[Зелений Тариф ЕЦ]]+Таб[[#This Row],[Зелений Тариф ЕЦ]]*Таб[[#This Row],[% надбавки]],4)</f>
        <v>0.25850000000000001</v>
      </c>
      <c r="S357" s="12"/>
      <c r="T357">
        <v>1.4530000000000001</v>
      </c>
      <c r="U357">
        <v>1.6879999999999999</v>
      </c>
      <c r="V357">
        <v>3.46</v>
      </c>
      <c r="W357">
        <v>3.9300000000000006</v>
      </c>
      <c r="X357">
        <v>5.0830000000000002</v>
      </c>
      <c r="Y357">
        <v>4.8780000000000001</v>
      </c>
      <c r="Z357">
        <v>4.8629999999999995</v>
      </c>
      <c r="AA357">
        <v>4.4029999999999987</v>
      </c>
      <c r="AB357">
        <v>3.9550000000000018</v>
      </c>
      <c r="AC357">
        <v>1.9069999999999965</v>
      </c>
      <c r="AD357">
        <v>0.83100000000000307</v>
      </c>
      <c r="AE357">
        <v>0.69899999999999807</v>
      </c>
      <c r="AF357">
        <v>0.81200000000000006</v>
      </c>
      <c r="AG357">
        <v>1.1359999999999999</v>
      </c>
      <c r="AH357">
        <v>2.5009999999999999</v>
      </c>
      <c r="AI357">
        <v>4.5910000000000002</v>
      </c>
      <c r="AJ357">
        <v>5.0010000000000003</v>
      </c>
      <c r="AK357">
        <v>4.6180000000000003</v>
      </c>
      <c r="AL357">
        <v>4.5960000000000001</v>
      </c>
      <c r="AM357">
        <v>5.1079999999999997</v>
      </c>
      <c r="AN357">
        <v>3.3260000000000001</v>
      </c>
      <c r="AO357">
        <v>3.3959999999999999</v>
      </c>
      <c r="AP357">
        <v>1.272</v>
      </c>
      <c r="AQ357">
        <v>0.3</v>
      </c>
      <c r="AR357">
        <v>0.85799999999999998</v>
      </c>
      <c r="AS357">
        <v>1.3979999999999999</v>
      </c>
      <c r="AT357">
        <v>3.5790000000000002</v>
      </c>
      <c r="AU357">
        <v>4.2770000000000001</v>
      </c>
      <c r="AV357">
        <v>4.2359999999999998</v>
      </c>
      <c r="AW357">
        <v>4.6310000000000002</v>
      </c>
      <c r="AX357">
        <v>4.6390000000000002</v>
      </c>
      <c r="AY357">
        <v>4.6289999999999996</v>
      </c>
      <c r="BD3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943.71104276024869</v>
      </c>
      <c r="BE3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1627.2788655220709</v>
      </c>
      <c r="BF3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2745.3412153025411</v>
      </c>
      <c r="BG3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3902.1482999763939</v>
      </c>
      <c r="BH3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4804.3471267794475</v>
      </c>
      <c r="BI3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4981.4659148634828</v>
      </c>
      <c r="BJ3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5061.7228657140604</v>
      </c>
      <c r="BK3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4375.3875618884258</v>
      </c>
      <c r="BL3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3071.9039808324815</v>
      </c>
      <c r="BM3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1973.2139984987016</v>
      </c>
      <c r="BN3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913.26875105830527</v>
      </c>
      <c r="BO3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772.1272168038397</v>
      </c>
      <c r="BP357">
        <f>SUM(Таб[[#This Row],[1]:[12]])</f>
        <v>35171.916839999998</v>
      </c>
    </row>
    <row r="358" spans="2:68" ht="25.5">
      <c r="B358" t="s">
        <v>384</v>
      </c>
      <c r="C358" t="str">
        <f>IFERROR(VLOOKUP(Таб[[#This Row],[Зелений Тариф ЕЦ]],Sheet6!$H$9:$I$29,2,FALSE),"")</f>
        <v>Земля</v>
      </c>
      <c r="G358" s="1" t="s">
        <v>949</v>
      </c>
      <c r="H358" t="s">
        <v>172</v>
      </c>
      <c r="I358" t="s">
        <v>951</v>
      </c>
      <c r="J358" s="7">
        <v>0.15</v>
      </c>
      <c r="K358" s="8"/>
      <c r="L358" s="8">
        <v>42320</v>
      </c>
      <c r="M358">
        <v>11</v>
      </c>
      <c r="N358" s="49" t="s">
        <v>71</v>
      </c>
      <c r="O358">
        <v>2015</v>
      </c>
      <c r="P358">
        <v>0.1696</v>
      </c>
      <c r="Q358" s="10"/>
      <c r="R358" s="11">
        <f>ROUND(Таб[[#This Row],[Зелений Тариф ЕЦ]]+Таб[[#This Row],[Зелений Тариф ЕЦ]]*Таб[[#This Row],[% надбавки]],4)</f>
        <v>0.1696</v>
      </c>
      <c r="S358" s="12"/>
      <c r="T358">
        <v>7.0000000000000062E-3</v>
      </c>
      <c r="U358">
        <v>7.0000000000000062E-3</v>
      </c>
      <c r="V358">
        <v>8.9999999999999872E-3</v>
      </c>
      <c r="W358">
        <v>1.9000000000000003E-2</v>
      </c>
      <c r="X358">
        <v>2.1999999999999999E-2</v>
      </c>
      <c r="Y358">
        <v>2.2999999999999993E-2</v>
      </c>
      <c r="Z358">
        <v>2.2000000000000006E-2</v>
      </c>
      <c r="AA358">
        <v>2.2000000000000006E-2</v>
      </c>
      <c r="AB358">
        <v>1.4999999999999986E-2</v>
      </c>
      <c r="AC358">
        <v>7.0000000000000062E-3</v>
      </c>
      <c r="AD358">
        <v>3.0000000000000027E-3</v>
      </c>
      <c r="AE358">
        <v>1.0000000000000009E-3</v>
      </c>
      <c r="AF358">
        <v>4.0000000000000001E-3</v>
      </c>
      <c r="AG358">
        <v>8.9999999999999993E-3</v>
      </c>
      <c r="AH358">
        <v>1.4999999999999999E-2</v>
      </c>
      <c r="AI358">
        <v>2.1000000000000001E-2</v>
      </c>
      <c r="AJ358">
        <v>2.4E-2</v>
      </c>
      <c r="AK358">
        <v>2.1999999999999999E-2</v>
      </c>
      <c r="AL358">
        <v>2.1000000000000001E-2</v>
      </c>
      <c r="AM358">
        <v>2.1999999999999999E-2</v>
      </c>
      <c r="AN358">
        <v>1.4999999999999999E-2</v>
      </c>
      <c r="AO358">
        <v>1.2E-2</v>
      </c>
      <c r="AP358">
        <v>4.0000000000000001E-3</v>
      </c>
      <c r="AQ358">
        <v>2E-3</v>
      </c>
      <c r="AR358">
        <v>3.0000000000000001E-3</v>
      </c>
      <c r="AS358">
        <v>8.0000000000000002E-3</v>
      </c>
      <c r="AT358">
        <v>1.2999999999999999E-2</v>
      </c>
      <c r="AU358">
        <v>1.9E-2</v>
      </c>
      <c r="AV358">
        <v>1.7000000000000001E-2</v>
      </c>
      <c r="AW358">
        <v>2.5999999999999999E-2</v>
      </c>
      <c r="AX358">
        <v>2.1999999999999999E-2</v>
      </c>
      <c r="AY358">
        <v>2.1999999999999999E-2</v>
      </c>
      <c r="BD3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4.8301312455740035</v>
      </c>
      <c r="BE3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8.328789361869541</v>
      </c>
      <c r="BF3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14.051290896215281</v>
      </c>
      <c r="BG3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19.972096939176961</v>
      </c>
      <c r="BH3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24.589759068376736</v>
      </c>
      <c r="BI3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25.496293964906759</v>
      </c>
      <c r="BJ3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25.907067589896926</v>
      </c>
      <c r="BK3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22.394244865843106</v>
      </c>
      <c r="BL3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15.722714611692503</v>
      </c>
      <c r="BM3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10.099365331654733</v>
      </c>
      <c r="BN3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4.6743205602329061</v>
      </c>
      <c r="BO3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3.9519255645605478</v>
      </c>
      <c r="BP358">
        <f>SUM(Таб[[#This Row],[1]:[12]])</f>
        <v>180.018</v>
      </c>
    </row>
    <row r="359" spans="2:68" ht="25.5">
      <c r="B359" t="s">
        <v>384</v>
      </c>
      <c r="C359" t="str">
        <f>IFERROR(VLOOKUP(Таб[[#This Row],[Зелений Тариф ЕЦ]],Sheet6!$H$9:$I$29,2,FALSE),"")</f>
        <v>Земля</v>
      </c>
      <c r="G359" s="1" t="s">
        <v>949</v>
      </c>
      <c r="H359" t="s">
        <v>163</v>
      </c>
      <c r="J359" s="7">
        <v>6.3500000000000001E-2</v>
      </c>
      <c r="K359" s="8"/>
      <c r="L359" s="8">
        <v>41809</v>
      </c>
      <c r="M359">
        <v>6</v>
      </c>
      <c r="N359" s="49" t="s">
        <v>57</v>
      </c>
      <c r="O359">
        <v>2014</v>
      </c>
      <c r="P359">
        <v>0.33929999999999999</v>
      </c>
      <c r="Q359" s="10"/>
      <c r="R359" s="11">
        <f>ROUND(Таб[[#This Row],[Зелений Тариф ЕЦ]]+Таб[[#This Row],[Зелений Тариф ЕЦ]]*Таб[[#This Row],[% надбавки]],4)</f>
        <v>0.33929999999999999</v>
      </c>
      <c r="S359" s="12"/>
      <c r="T359">
        <v>0</v>
      </c>
      <c r="U359">
        <v>0</v>
      </c>
      <c r="V359">
        <v>0.26500000000000001</v>
      </c>
      <c r="W359">
        <v>0.186</v>
      </c>
      <c r="X359">
        <v>0.21400000000000002</v>
      </c>
      <c r="Y359">
        <v>0.22299999999999998</v>
      </c>
      <c r="Z359">
        <v>0.21000000000000008</v>
      </c>
      <c r="AA359">
        <v>0.20699999999999985</v>
      </c>
      <c r="AB359">
        <v>0.14800000000000013</v>
      </c>
      <c r="AC359">
        <v>0.10499999999999998</v>
      </c>
      <c r="AD359">
        <v>7.2999999999999954E-2</v>
      </c>
      <c r="AE359">
        <v>2.6000000000000023E-2</v>
      </c>
      <c r="AF359">
        <v>5.2999999999999999E-2</v>
      </c>
      <c r="AG359">
        <v>5.0999999999999997E-2</v>
      </c>
      <c r="AH359">
        <v>9.8000000000000004E-2</v>
      </c>
      <c r="AI359">
        <v>0.20799999999999999</v>
      </c>
      <c r="AJ359">
        <v>0.22600000000000001</v>
      </c>
      <c r="AK359">
        <v>0.19</v>
      </c>
      <c r="AL359">
        <v>0.186</v>
      </c>
      <c r="AM359">
        <v>0.219</v>
      </c>
      <c r="AN359">
        <v>0.14199999999999999</v>
      </c>
      <c r="AO359">
        <v>0.129</v>
      </c>
      <c r="AP359">
        <v>3.5999999999999997E-2</v>
      </c>
      <c r="AQ359">
        <v>0.02</v>
      </c>
      <c r="AR359">
        <v>2.5000000000000001E-2</v>
      </c>
      <c r="AS359">
        <v>5.7000000000000002E-2</v>
      </c>
      <c r="AT359">
        <v>0.13</v>
      </c>
      <c r="AU359">
        <v>0.18</v>
      </c>
      <c r="AV359">
        <v>0.17299999999999999</v>
      </c>
      <c r="AW359">
        <v>0.215</v>
      </c>
      <c r="AX359">
        <v>0.21199999999999999</v>
      </c>
      <c r="AY359">
        <v>0.19700000000000001</v>
      </c>
      <c r="BD3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2.0447555606263279</v>
      </c>
      <c r="BE3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3.5258541631914393</v>
      </c>
      <c r="BF3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5.9483798127311358</v>
      </c>
      <c r="BG3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8.4548543709182482</v>
      </c>
      <c r="BH3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10.409664672279487</v>
      </c>
      <c r="BI3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10.793431111810527</v>
      </c>
      <c r="BJ3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10.967325279723031</v>
      </c>
      <c r="BK3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9.4802303265402479</v>
      </c>
      <c r="BL3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6.6559491856164925</v>
      </c>
      <c r="BM3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4.2753979904005028</v>
      </c>
      <c r="BN3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1.9787957038319304</v>
      </c>
      <c r="BO3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1.6729818223306319</v>
      </c>
      <c r="BP359">
        <f>SUM(Таб[[#This Row],[1]:[12]])</f>
        <v>76.207620000000006</v>
      </c>
    </row>
    <row r="360" spans="2:68" ht="25.5">
      <c r="B360" t="s">
        <v>384</v>
      </c>
      <c r="C360" t="str">
        <f>IFERROR(VLOOKUP(Таб[[#This Row],[Зелений Тариф ЕЦ]],Sheet6!$H$9:$I$29,2,FALSE),"")</f>
        <v>Земля</v>
      </c>
      <c r="G360" s="1" t="s">
        <v>949</v>
      </c>
      <c r="H360" t="s">
        <v>163</v>
      </c>
      <c r="I360" t="s">
        <v>571</v>
      </c>
      <c r="J360" s="7">
        <v>6.3500000000000001E-2</v>
      </c>
      <c r="K360" s="8"/>
      <c r="L360" s="8">
        <v>41725</v>
      </c>
      <c r="M360">
        <v>3</v>
      </c>
      <c r="N360" s="49" t="s">
        <v>67</v>
      </c>
      <c r="O360">
        <v>2014</v>
      </c>
      <c r="P360">
        <v>0.33929999999999999</v>
      </c>
      <c r="Q360" s="10"/>
      <c r="R360" s="11">
        <f>ROUND(Таб[[#This Row],[Зелений Тариф ЕЦ]]+Таб[[#This Row],[Зелений Тариф ЕЦ]]*Таб[[#This Row],[% надбавки]],4)</f>
        <v>0.33929999999999999</v>
      </c>
      <c r="S360" s="12"/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BD3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2.0447555606263279</v>
      </c>
      <c r="BE3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3.5258541631914393</v>
      </c>
      <c r="BF3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5.9483798127311358</v>
      </c>
      <c r="BG3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8.4548543709182482</v>
      </c>
      <c r="BH3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10.409664672279487</v>
      </c>
      <c r="BI3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10.793431111810527</v>
      </c>
      <c r="BJ3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10.967325279723031</v>
      </c>
      <c r="BK3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9.4802303265402479</v>
      </c>
      <c r="BL3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6.6559491856164925</v>
      </c>
      <c r="BM3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4.2753979904005028</v>
      </c>
      <c r="BN3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1.9787957038319304</v>
      </c>
      <c r="BO3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1.6729818223306319</v>
      </c>
      <c r="BP360">
        <f>SUM(Таб[[#This Row],[1]:[12]])</f>
        <v>76.207620000000006</v>
      </c>
    </row>
    <row r="361" spans="2:68" ht="25.5">
      <c r="B361" t="s">
        <v>384</v>
      </c>
      <c r="C361" t="str">
        <f>IFERROR(VLOOKUP(Таб[[#This Row],[Зелений Тариф ЕЦ]],Sheet6!$H$9:$I$29,2,FALSE),"")</f>
        <v>Земля</v>
      </c>
      <c r="G361" s="1" t="s">
        <v>949</v>
      </c>
      <c r="H361" t="s">
        <v>198</v>
      </c>
      <c r="I361" t="s">
        <v>571</v>
      </c>
      <c r="J361" s="7">
        <v>0.20399999999999999</v>
      </c>
      <c r="K361" s="8"/>
      <c r="L361" s="8">
        <v>41809</v>
      </c>
      <c r="M361">
        <v>6</v>
      </c>
      <c r="N361" s="49" t="s">
        <v>57</v>
      </c>
      <c r="O361">
        <v>2014</v>
      </c>
      <c r="P361">
        <v>0.33929999999999999</v>
      </c>
      <c r="Q361" s="10"/>
      <c r="R361" s="11">
        <f>ROUND(Таб[[#This Row],[Зелений Тариф ЕЦ]]+Таб[[#This Row],[Зелений Тариф ЕЦ]]*Таб[[#This Row],[% надбавки]],4)</f>
        <v>0.33929999999999999</v>
      </c>
      <c r="S361" s="12"/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BD3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6.5689784939806444</v>
      </c>
      <c r="BE3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11.327153532142574</v>
      </c>
      <c r="BF3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19.10975561885278</v>
      </c>
      <c r="BG3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27.162051837280664</v>
      </c>
      <c r="BH3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33.442072332992367</v>
      </c>
      <c r="BI3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34.674959792273192</v>
      </c>
      <c r="BJ3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35.233611922259811</v>
      </c>
      <c r="BK3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30.456173017546618</v>
      </c>
      <c r="BL3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21.382891871901805</v>
      </c>
      <c r="BM3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13.735136851050434</v>
      </c>
      <c r="BN3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6.3570759619167525</v>
      </c>
      <c r="BO3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5.3746187678023452</v>
      </c>
      <c r="BP361">
        <f>SUM(Таб[[#This Row],[1]:[12]])</f>
        <v>244.82447999999997</v>
      </c>
    </row>
    <row r="362" spans="2:68" ht="25.5">
      <c r="B362" t="s">
        <v>384</v>
      </c>
      <c r="C362" t="str">
        <f>IFERROR(VLOOKUP(Таб[[#This Row],[Зелений Тариф ЕЦ]],Sheet6!$H$9:$I$29,2,FALSE),"")</f>
        <v>Земля</v>
      </c>
      <c r="G362" s="1" t="s">
        <v>949</v>
      </c>
      <c r="H362" t="s">
        <v>163</v>
      </c>
      <c r="I362" t="s">
        <v>964</v>
      </c>
      <c r="J362" s="7">
        <v>0.10299999999999999</v>
      </c>
      <c r="K362" s="8"/>
      <c r="L362" s="8">
        <v>40909</v>
      </c>
      <c r="M362">
        <v>1</v>
      </c>
      <c r="N362" s="49" t="s">
        <v>67</v>
      </c>
      <c r="O362">
        <v>2012</v>
      </c>
      <c r="P362">
        <v>0.46529999999999999</v>
      </c>
      <c r="Q362" s="10"/>
      <c r="R362" s="11">
        <f>ROUND(Таб[[#This Row],[Зелений Тариф ЕЦ]]+Таб[[#This Row],[Зелений Тариф ЕЦ]]*Таб[[#This Row],[% надбавки]],4)</f>
        <v>0.46529999999999999</v>
      </c>
      <c r="S362" s="12"/>
      <c r="T362">
        <v>0.17499999999999999</v>
      </c>
      <c r="U362">
        <v>0.24</v>
      </c>
      <c r="V362">
        <v>0.186</v>
      </c>
      <c r="W362">
        <v>0.40999999999999992</v>
      </c>
      <c r="X362">
        <v>0.4740000000000002</v>
      </c>
      <c r="Y362">
        <v>0.49199999999999999</v>
      </c>
      <c r="Z362">
        <v>0.46799999999999975</v>
      </c>
      <c r="AA362">
        <v>0.46300000000000008</v>
      </c>
      <c r="AB362">
        <v>0.3490000000000002</v>
      </c>
      <c r="AC362">
        <v>0.25499999999999989</v>
      </c>
      <c r="AD362">
        <v>0.17600000000000016</v>
      </c>
      <c r="AE362">
        <v>6.999999999999984E-2</v>
      </c>
      <c r="AF362">
        <v>0.124</v>
      </c>
      <c r="AG362">
        <v>0.121</v>
      </c>
      <c r="AH362">
        <v>0.23400000000000001</v>
      </c>
      <c r="AI362">
        <v>0.45300000000000001</v>
      </c>
      <c r="AJ362">
        <v>0.49399999999999999</v>
      </c>
      <c r="AK362">
        <v>0.41899999999999998</v>
      </c>
      <c r="AL362">
        <v>0.41299999999999998</v>
      </c>
      <c r="AM362">
        <v>0.49199999999999999</v>
      </c>
      <c r="AN362">
        <v>0.316</v>
      </c>
      <c r="AO362">
        <v>0.29099999999999998</v>
      </c>
      <c r="AP362">
        <v>8.1000000000000003E-2</v>
      </c>
      <c r="AQ362">
        <v>4.9000000000000002E-2</v>
      </c>
      <c r="AR362">
        <v>6.2E-2</v>
      </c>
      <c r="AS362">
        <v>0.129</v>
      </c>
      <c r="AT362">
        <v>0.30299999999999999</v>
      </c>
      <c r="AU362">
        <v>0.39600000000000002</v>
      </c>
      <c r="AV362">
        <v>0.38200000000000001</v>
      </c>
      <c r="AW362">
        <v>0.45500000000000002</v>
      </c>
      <c r="AX362">
        <v>0.46899999999999997</v>
      </c>
      <c r="AY362">
        <v>0.438</v>
      </c>
      <c r="BD3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3.316690121960816</v>
      </c>
      <c r="BE3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5.7191020284837517</v>
      </c>
      <c r="BF3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9.6485530820678242</v>
      </c>
      <c r="BG3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13.714173231568182</v>
      </c>
      <c r="BH3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16.884967893618697</v>
      </c>
      <c r="BI3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17.507455189235976</v>
      </c>
      <c r="BJ3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17.789519745062552</v>
      </c>
      <c r="BK3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15.377381474545597</v>
      </c>
      <c r="BL3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10.796264033362185</v>
      </c>
      <c r="BM3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6.9348975277362488</v>
      </c>
      <c r="BN3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3.2097001180265963</v>
      </c>
      <c r="BO3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2.7136555543315763</v>
      </c>
      <c r="BP362">
        <f>SUM(Таб[[#This Row],[1]:[12]])</f>
        <v>123.61236</v>
      </c>
    </row>
    <row r="363" spans="2:68" ht="25.5">
      <c r="B363" t="s">
        <v>384</v>
      </c>
      <c r="C363" t="str">
        <f>IFERROR(VLOOKUP(Таб[[#This Row],[Зелений Тариф ЕЦ]],Sheet6!$H$9:$I$29,2,FALSE),"")</f>
        <v>Земля</v>
      </c>
      <c r="G363" s="1" t="s">
        <v>949</v>
      </c>
      <c r="H363" t="s">
        <v>198</v>
      </c>
      <c r="I363" t="s">
        <v>571</v>
      </c>
      <c r="J363" s="7">
        <v>0.71499999999999997</v>
      </c>
      <c r="K363" s="8"/>
      <c r="L363" s="8">
        <v>41004</v>
      </c>
      <c r="M363">
        <v>4</v>
      </c>
      <c r="N363" s="49" t="s">
        <v>57</v>
      </c>
      <c r="O363">
        <v>2012</v>
      </c>
      <c r="P363">
        <v>0.46529999999999999</v>
      </c>
      <c r="Q363" s="10"/>
      <c r="R363" s="11">
        <f>ROUND(Таб[[#This Row],[Зелений Тариф ЕЦ]]+Таб[[#This Row],[Зелений Тариф ЕЦ]]*Таб[[#This Row],[% надбавки]],4)</f>
        <v>0.46529999999999999</v>
      </c>
      <c r="S363" s="12"/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BD3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23.023625603902747</v>
      </c>
      <c r="BE3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39.700562624911477</v>
      </c>
      <c r="BF3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66.977819938626169</v>
      </c>
      <c r="BG3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95.200328743410168</v>
      </c>
      <c r="BH3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117.21118489259578</v>
      </c>
      <c r="BI3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121.53233456605557</v>
      </c>
      <c r="BJ3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123.49035551184198</v>
      </c>
      <c r="BK3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106.74590052718546</v>
      </c>
      <c r="BL3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74.944939649067592</v>
      </c>
      <c r="BM3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48.14030808088755</v>
      </c>
      <c r="BN3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22.280928003776854</v>
      </c>
      <c r="BO3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18.837511857738612</v>
      </c>
      <c r="BP363">
        <f>SUM(Таб[[#This Row],[1]:[12]])</f>
        <v>858.08579999999984</v>
      </c>
    </row>
    <row r="364" spans="2:68" ht="25.5">
      <c r="B364" t="s">
        <v>384</v>
      </c>
      <c r="C364" t="str">
        <f>IFERROR(VLOOKUP(Таб[[#This Row],[Зелений Тариф ЕЦ]],Sheet6!$H$9:$I$29,2,FALSE),"")</f>
        <v>Земля</v>
      </c>
      <c r="G364" s="1" t="s">
        <v>949</v>
      </c>
      <c r="H364" t="s">
        <v>198</v>
      </c>
      <c r="I364" t="s">
        <v>571</v>
      </c>
      <c r="J364" s="7">
        <v>0.71499999999999997</v>
      </c>
      <c r="K364" s="8"/>
      <c r="L364" s="8">
        <v>41179</v>
      </c>
      <c r="M364">
        <v>9</v>
      </c>
      <c r="N364" s="49" t="s">
        <v>60</v>
      </c>
      <c r="O364">
        <v>2012</v>
      </c>
      <c r="P364">
        <v>0.46529999999999999</v>
      </c>
      <c r="Q364" s="10"/>
      <c r="R364" s="11">
        <f>ROUND(Таб[[#This Row],[Зелений Тариф ЕЦ]]+Таб[[#This Row],[Зелений Тариф ЕЦ]]*Таб[[#This Row],[% надбавки]],4)</f>
        <v>0.46529999999999999</v>
      </c>
      <c r="S364" s="12"/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BD3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23.023625603902747</v>
      </c>
      <c r="BE3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39.700562624911477</v>
      </c>
      <c r="BF3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66.977819938626169</v>
      </c>
      <c r="BG3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95.200328743410168</v>
      </c>
      <c r="BH3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117.21118489259578</v>
      </c>
      <c r="BI3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121.53233456605557</v>
      </c>
      <c r="BJ3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123.49035551184198</v>
      </c>
      <c r="BK3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106.74590052718546</v>
      </c>
      <c r="BL3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74.944939649067592</v>
      </c>
      <c r="BM3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48.14030808088755</v>
      </c>
      <c r="BN3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22.280928003776854</v>
      </c>
      <c r="BO3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18.837511857738612</v>
      </c>
      <c r="BP364">
        <f>SUM(Таб[[#This Row],[1]:[12]])</f>
        <v>858.08579999999984</v>
      </c>
    </row>
    <row r="365" spans="2:68" ht="25.5">
      <c r="B365" t="s">
        <v>384</v>
      </c>
      <c r="C365" t="str">
        <f>IFERROR(VLOOKUP(Таб[[#This Row],[Зелений Тариф ЕЦ]],Sheet6!$H$9:$I$29,2,FALSE),"")</f>
        <v>Земля</v>
      </c>
      <c r="G365" s="1" t="s">
        <v>949</v>
      </c>
      <c r="H365" t="s">
        <v>198</v>
      </c>
      <c r="I365" t="s">
        <v>571</v>
      </c>
      <c r="J365" s="7">
        <v>2.5030000000000001</v>
      </c>
      <c r="K365" s="8"/>
      <c r="L365" s="8">
        <v>41358</v>
      </c>
      <c r="M365">
        <v>3</v>
      </c>
      <c r="N365" s="49" t="s">
        <v>67</v>
      </c>
      <c r="O365">
        <v>2013</v>
      </c>
      <c r="P365">
        <v>0.46529999999999999</v>
      </c>
      <c r="Q365" s="10"/>
      <c r="R365" s="11">
        <f>ROUND(Таб[[#This Row],[Зелений Тариф ЕЦ]]+Таб[[#This Row],[Зелений Тариф ЕЦ]]*Таб[[#This Row],[% надбавки]],4)</f>
        <v>0.46529999999999999</v>
      </c>
      <c r="S365" s="12"/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BD3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80.598790051144874</v>
      </c>
      <c r="BE3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138.97973181839643</v>
      </c>
      <c r="BF3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234.46920742151229</v>
      </c>
      <c r="BG3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333.2677242583996</v>
      </c>
      <c r="BH3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410.32111298764653</v>
      </c>
      <c r="BI3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425.44815862774419</v>
      </c>
      <c r="BJ3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432.30260118341329</v>
      </c>
      <c r="BK3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373.68529932803528</v>
      </c>
      <c r="BL3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262.35969782044225</v>
      </c>
      <c r="BM3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168.52474283421196</v>
      </c>
      <c r="BN3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77.998829081753101</v>
      </c>
      <c r="BO3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65.944464587300345</v>
      </c>
      <c r="BP365">
        <f>SUM(Таб[[#This Row],[1]:[12]])</f>
        <v>3003.9003600000001</v>
      </c>
    </row>
    <row r="366" spans="2:68" ht="25.5">
      <c r="B366" t="s">
        <v>384</v>
      </c>
      <c r="C366" t="str">
        <f>IFERROR(VLOOKUP(Таб[[#This Row],[Зелений Тариф ЕЦ]],Sheet6!$H$9:$I$29,2,FALSE),"")</f>
        <v>Земля</v>
      </c>
      <c r="G366" s="1" t="s">
        <v>949</v>
      </c>
      <c r="H366" t="s">
        <v>198</v>
      </c>
      <c r="I366" t="s">
        <v>571</v>
      </c>
      <c r="J366" s="7">
        <v>0.86099999999999999</v>
      </c>
      <c r="K366" s="8"/>
      <c r="L366" s="8">
        <v>42999</v>
      </c>
      <c r="M366">
        <v>9</v>
      </c>
      <c r="N366" s="49" t="s">
        <v>60</v>
      </c>
      <c r="O366">
        <v>2017</v>
      </c>
      <c r="P366">
        <v>0.15029999999999999</v>
      </c>
      <c r="Q366" s="10"/>
      <c r="R366" s="11">
        <f>ROUND(Таб[[#This Row],[Зелений Тариф ЕЦ]]+Таб[[#This Row],[Зелений Тариф ЕЦ]]*Таб[[#This Row],[% надбавки]],4)</f>
        <v>0.15029999999999999</v>
      </c>
      <c r="S366" s="12"/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8.7999999999999995E-2</v>
      </c>
      <c r="AD366">
        <v>4.300000000000001E-2</v>
      </c>
      <c r="AE366">
        <v>2.1999999999999992E-2</v>
      </c>
      <c r="AF366">
        <v>3.9E-2</v>
      </c>
      <c r="AG366">
        <v>3.1E-2</v>
      </c>
      <c r="AH366">
        <v>6.6000000000000003E-2</v>
      </c>
      <c r="AI366">
        <v>0.13500000000000001</v>
      </c>
      <c r="AJ366">
        <v>0.14699999999999999</v>
      </c>
      <c r="AK366">
        <v>0.124</v>
      </c>
      <c r="AL366">
        <v>0.123</v>
      </c>
      <c r="AM366">
        <v>0.13600000000000001</v>
      </c>
      <c r="AN366">
        <v>9.1999999999999998E-2</v>
      </c>
      <c r="AO366">
        <v>8.3000000000000004E-2</v>
      </c>
      <c r="AP366">
        <v>2.1999999999999999E-2</v>
      </c>
      <c r="AQ366">
        <v>1.6E-2</v>
      </c>
      <c r="AR366">
        <v>1.9E-2</v>
      </c>
      <c r="AS366">
        <v>3.7999999999999999E-2</v>
      </c>
      <c r="AT366">
        <v>9.1999999999999998E-2</v>
      </c>
      <c r="AU366">
        <v>0.11799999999999999</v>
      </c>
      <c r="AV366">
        <v>0.108</v>
      </c>
      <c r="AW366">
        <v>0.13300000000000001</v>
      </c>
      <c r="AX366">
        <v>0.13700000000000001</v>
      </c>
      <c r="AY366">
        <v>0.11700000000000001</v>
      </c>
      <c r="BD3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27.724953349594784</v>
      </c>
      <c r="BE3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47.807250937131165</v>
      </c>
      <c r="BF3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80.654409744275711</v>
      </c>
      <c r="BG3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114.63983643087576</v>
      </c>
      <c r="BH3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141.14521705248251</v>
      </c>
      <c r="BI3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146.34872735856479</v>
      </c>
      <c r="BJ3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148.70656796600832</v>
      </c>
      <c r="BK3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128.54296552993944</v>
      </c>
      <c r="BL3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90.248381871114987</v>
      </c>
      <c r="BM3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57.970357003698155</v>
      </c>
      <c r="BN3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26.830600015736888</v>
      </c>
      <c r="BO3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22.684052740577542</v>
      </c>
      <c r="BP366">
        <f>SUM(Таб[[#This Row],[1]:[12]])</f>
        <v>1033.3033200000002</v>
      </c>
    </row>
    <row r="367" spans="2:68" ht="25.5">
      <c r="B367" t="s">
        <v>384</v>
      </c>
      <c r="C367" t="str">
        <f>IFERROR(VLOOKUP(Таб[[#This Row],[Зелений Тариф ЕЦ]],Sheet6!$H$9:$I$29,2,FALSE),"")</f>
        <v>Земля</v>
      </c>
      <c r="G367" s="1" t="s">
        <v>972</v>
      </c>
      <c r="H367" t="s">
        <v>98</v>
      </c>
      <c r="J367" s="7">
        <v>9.9489999999999998</v>
      </c>
      <c r="K367" s="8"/>
      <c r="L367" s="8">
        <v>43455</v>
      </c>
      <c r="M367">
        <v>12</v>
      </c>
      <c r="N367" s="49" t="s">
        <v>71</v>
      </c>
      <c r="O367">
        <v>2018</v>
      </c>
      <c r="P367">
        <v>0.15029999999999999</v>
      </c>
      <c r="Q367" s="10"/>
      <c r="R367" s="11">
        <f>ROUND(Таб[[#This Row],[Зелений Тариф ЕЦ]]+Таб[[#This Row],[Зелений Тариф ЕЦ]]*Таб[[#This Row],[% надбавки]],4)</f>
        <v>0.15029999999999999</v>
      </c>
      <c r="S367" s="12"/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4.8000000000000001E-2</v>
      </c>
      <c r="AS367">
        <v>0.66300000000000003</v>
      </c>
      <c r="AT367">
        <v>0.96199999999999997</v>
      </c>
      <c r="AU367">
        <v>1.232</v>
      </c>
      <c r="AV367">
        <v>1.052</v>
      </c>
      <c r="AW367">
        <v>1.556</v>
      </c>
      <c r="AX367">
        <v>1.478</v>
      </c>
      <c r="AY367">
        <v>1.522</v>
      </c>
      <c r="BD3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320.36650508143839</v>
      </c>
      <c r="BE3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552.4208357416004</v>
      </c>
      <c r="BF3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931.97528750963875</v>
      </c>
      <c r="BG3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1324.6826163191438</v>
      </c>
      <c r="BH3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1630.9567531418679</v>
      </c>
      <c r="BI3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1691.0841910457157</v>
      </c>
      <c r="BJ3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1718.3294363458967</v>
      </c>
      <c r="BK3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1485.3356144684869</v>
      </c>
      <c r="BL3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1042.8352511448579</v>
      </c>
      <c r="BM3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669.85723789755275</v>
      </c>
      <c r="BN3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310.03210169171456</v>
      </c>
      <c r="BO3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262.11804961208588</v>
      </c>
      <c r="BP367">
        <f>SUM(Таб[[#This Row],[1]:[12]])</f>
        <v>11939.99388</v>
      </c>
    </row>
    <row r="368" spans="2:68" ht="25.5">
      <c r="B368" t="s">
        <v>384</v>
      </c>
      <c r="C368" t="str">
        <f>IFERROR(VLOOKUP(Таб[[#This Row],[Зелений Тариф ЕЦ]],Sheet6!$H$9:$I$29,2,FALSE),"")</f>
        <v>Земля</v>
      </c>
      <c r="D368" t="s">
        <v>3365</v>
      </c>
      <c r="E368" t="s">
        <v>3363</v>
      </c>
      <c r="F368" t="s">
        <v>3364</v>
      </c>
      <c r="G368" s="1" t="s">
        <v>975</v>
      </c>
      <c r="H368" t="s">
        <v>82</v>
      </c>
      <c r="J368" s="7">
        <v>7.4989999999999997</v>
      </c>
      <c r="K368" s="8"/>
      <c r="L368" s="8">
        <v>43613</v>
      </c>
      <c r="M368">
        <v>5</v>
      </c>
      <c r="N368" s="49" t="s">
        <v>57</v>
      </c>
      <c r="O368">
        <v>2019</v>
      </c>
      <c r="P368">
        <v>0.15029999999999999</v>
      </c>
      <c r="Q368" s="10">
        <v>0.05</v>
      </c>
      <c r="R368" s="11">
        <f>ROUND(Таб[[#This Row],[Зелений Тариф ЕЦ]]+Таб[[#This Row],[Зелений Тариф ЕЦ]]*Таб[[#This Row],[% надбавки]],4)</f>
        <v>0.1578</v>
      </c>
      <c r="S368" s="12">
        <v>43664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0.78200000000000003</v>
      </c>
      <c r="AX368">
        <v>1.19</v>
      </c>
      <c r="AY368">
        <v>1.2450000000000001</v>
      </c>
      <c r="BD3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241.47436140372969</v>
      </c>
      <c r="BE3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416.38394283106459</v>
      </c>
      <c r="BF3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702.47086953812254</v>
      </c>
      <c r="BG3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998.47169964592013</v>
      </c>
      <c r="BH3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1229.3240216917143</v>
      </c>
      <c r="BI3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1274.6447229522387</v>
      </c>
      <c r="BJ3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1295.1806657109134</v>
      </c>
      <c r="BK3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1119.5629483263829</v>
      </c>
      <c r="BL3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786.03091248721375</v>
      </c>
      <c r="BM3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504.90093748052561</v>
      </c>
      <c r="BN3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233.6848658745771</v>
      </c>
      <c r="BO3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197.56993205759699</v>
      </c>
      <c r="BP368">
        <f>SUM(Таб[[#This Row],[1]:[12]])</f>
        <v>8999.6998800000001</v>
      </c>
    </row>
    <row r="369" spans="2:68" ht="38.25">
      <c r="B369" t="s">
        <v>384</v>
      </c>
      <c r="C369" t="str">
        <f>IFERROR(VLOOKUP(Таб[[#This Row],[Зелений Тариф ЕЦ]],Sheet6!$H$9:$I$29,2,FALSE),"")</f>
        <v>Земля</v>
      </c>
      <c r="D369" s="138"/>
      <c r="E369" s="138"/>
      <c r="F369" s="138" t="s">
        <v>3287</v>
      </c>
      <c r="G369" s="1" t="s">
        <v>978</v>
      </c>
      <c r="H369" t="s">
        <v>73</v>
      </c>
      <c r="J369" s="7">
        <v>1.2350000000000001</v>
      </c>
      <c r="K369" s="8"/>
      <c r="L369" s="8">
        <v>43431</v>
      </c>
      <c r="M369">
        <v>11</v>
      </c>
      <c r="N369" s="49" t="s">
        <v>71</v>
      </c>
      <c r="O369">
        <v>2018</v>
      </c>
      <c r="P369">
        <v>0.15029999999999999</v>
      </c>
      <c r="Q369" s="10"/>
      <c r="R369" s="11">
        <f>ROUND(Таб[[#This Row],[Зелений Тариф ЕЦ]]+Таб[[#This Row],[Зелений Тариф ЕЦ]]*Таб[[#This Row],[% надбавки]],4)</f>
        <v>0.15029999999999999</v>
      </c>
      <c r="S369" s="12"/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0.02</v>
      </c>
      <c r="AR369">
        <v>4.8000000000000001E-2</v>
      </c>
      <c r="AS369">
        <v>0.30499999999999999</v>
      </c>
      <c r="AT369">
        <v>0.60799999999999998</v>
      </c>
      <c r="AU369">
        <v>2.2690000000000001</v>
      </c>
      <c r="AV369">
        <v>2.452</v>
      </c>
      <c r="AW369">
        <v>2.2240000000000002</v>
      </c>
      <c r="AX369">
        <v>2.4260000000000002</v>
      </c>
      <c r="AY369">
        <v>2.5139999999999998</v>
      </c>
      <c r="BD3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39.7680805885593</v>
      </c>
      <c r="BE3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68.573699079392554</v>
      </c>
      <c r="BF3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115.68896171217249</v>
      </c>
      <c r="BG3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164.43693146589032</v>
      </c>
      <c r="BH3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202.45568299630182</v>
      </c>
      <c r="BI3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209.91948697773233</v>
      </c>
      <c r="BJ3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213.30152315681801</v>
      </c>
      <c r="BK3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184.37928272877491</v>
      </c>
      <c r="BL3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129.45035030293494</v>
      </c>
      <c r="BM3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83.151441230623973</v>
      </c>
      <c r="BN3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38.485239279250933</v>
      </c>
      <c r="BO3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32.537520481548512</v>
      </c>
      <c r="BP369">
        <f>SUM(Таб[[#This Row],[1]:[12]])</f>
        <v>1482.1482000000001</v>
      </c>
    </row>
    <row r="370" spans="2:68" ht="38.25">
      <c r="B370" t="s">
        <v>384</v>
      </c>
      <c r="C370" t="str">
        <f>IFERROR(VLOOKUP(Таб[[#This Row],[Зелений Тариф ЕЦ]],Sheet6!$H$9:$I$29,2,FALSE),"")</f>
        <v>Земля</v>
      </c>
      <c r="D370" s="138"/>
      <c r="E370" s="138"/>
      <c r="F370" s="138" t="s">
        <v>3287</v>
      </c>
      <c r="G370" s="1" t="s">
        <v>978</v>
      </c>
      <c r="H370" t="s">
        <v>73</v>
      </c>
      <c r="J370" s="7">
        <v>3.956</v>
      </c>
      <c r="K370" s="8"/>
      <c r="L370" s="8">
        <v>43494</v>
      </c>
      <c r="M370">
        <v>1</v>
      </c>
      <c r="N370" s="49" t="s">
        <v>67</v>
      </c>
      <c r="O370">
        <v>2019</v>
      </c>
      <c r="P370">
        <v>0.15029999999999999</v>
      </c>
      <c r="Q370" s="10"/>
      <c r="R370" s="11">
        <f>ROUND(Таб[[#This Row],[Зелений Тариф ЕЦ]]+Таб[[#This Row],[Зелений Тариф ЕЦ]]*Таб[[#This Row],[% надбавки]],4)</f>
        <v>0.15029999999999999</v>
      </c>
      <c r="S370" s="12"/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BD3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127.38666138327173</v>
      </c>
      <c r="BE3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219.65793810370602</v>
      </c>
      <c r="BF3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370.57937856951764</v>
      </c>
      <c r="BG3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526.7307699425603</v>
      </c>
      <c r="BH3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648.51391249665596</v>
      </c>
      <c r="BI3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672.42225950114096</v>
      </c>
      <c r="BJ3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683.25572923754817</v>
      </c>
      <c r="BK3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590.61088459516873</v>
      </c>
      <c r="BL3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414.6603933590369</v>
      </c>
      <c r="BM3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266.3539283468408</v>
      </c>
      <c r="BN3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123.27741424187586</v>
      </c>
      <c r="BO3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104.22545022267684</v>
      </c>
      <c r="BP370">
        <f>SUM(Таб[[#This Row],[1]:[12]])</f>
        <v>4747.67472</v>
      </c>
    </row>
    <row r="371" spans="2:68" ht="38.25">
      <c r="B371" t="s">
        <v>384</v>
      </c>
      <c r="C371" t="str">
        <f>IFERROR(VLOOKUP(Таб[[#This Row],[Зелений Тариф ЕЦ]],Sheet6!$H$9:$I$29,2,FALSE),"")</f>
        <v>Земля</v>
      </c>
      <c r="D371" s="138"/>
      <c r="E371" s="138"/>
      <c r="F371" s="138" t="s">
        <v>3287</v>
      </c>
      <c r="G371" s="1" t="s">
        <v>978</v>
      </c>
      <c r="H371" t="s">
        <v>73</v>
      </c>
      <c r="J371" s="7">
        <v>10.548</v>
      </c>
      <c r="K371" s="8"/>
      <c r="L371" s="8">
        <v>43550</v>
      </c>
      <c r="M371">
        <v>3</v>
      </c>
      <c r="N371" s="49" t="s">
        <v>67</v>
      </c>
      <c r="O371">
        <v>2019</v>
      </c>
      <c r="P371">
        <v>0.15029999999999999</v>
      </c>
      <c r="Q371" s="10"/>
      <c r="R371" s="11">
        <f>ROUND(Таб[[#This Row],[Зелений Тариф ЕЦ]]+Таб[[#This Row],[Зелений Тариф ЕЦ]]*Таб[[#This Row],[% надбавки]],4)</f>
        <v>0.15029999999999999</v>
      </c>
      <c r="S371" s="12"/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BD3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339.65482918876393</v>
      </c>
      <c r="BE3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585.68046792666621</v>
      </c>
      <c r="BF3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988.08677582185851</v>
      </c>
      <c r="BG3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1404.4378567629237</v>
      </c>
      <c r="BH3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1729.1518576882527</v>
      </c>
      <c r="BI3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1792.8993916122433</v>
      </c>
      <c r="BJ3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1821.7849929215517</v>
      </c>
      <c r="BK3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1574.7632989660869</v>
      </c>
      <c r="BL3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1105.6212914942168</v>
      </c>
      <c r="BM3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710.18737012196073</v>
      </c>
      <c r="BN3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328.69822179557798</v>
      </c>
      <c r="BO3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277.89940569989773</v>
      </c>
      <c r="BP371">
        <f>SUM(Таб[[#This Row],[1]:[12]])</f>
        <v>12658.865760000001</v>
      </c>
    </row>
    <row r="372" spans="2:68" ht="38.25">
      <c r="B372" t="s">
        <v>384</v>
      </c>
      <c r="C372" t="str">
        <f>IFERROR(VLOOKUP(Таб[[#This Row],[Зелений Тариф ЕЦ]],Sheet6!$H$9:$I$29,2,FALSE),"")</f>
        <v>Земля</v>
      </c>
      <c r="G372" s="1" t="s">
        <v>983</v>
      </c>
      <c r="H372" t="s">
        <v>136</v>
      </c>
      <c r="J372" s="7">
        <v>1.331</v>
      </c>
      <c r="K372" s="8"/>
      <c r="L372" s="8">
        <v>41389</v>
      </c>
      <c r="M372">
        <v>4</v>
      </c>
      <c r="N372" s="49" t="s">
        <v>57</v>
      </c>
      <c r="O372">
        <v>2013</v>
      </c>
      <c r="P372">
        <v>0.46529999999999999</v>
      </c>
      <c r="Q372" s="10"/>
      <c r="R372" s="11">
        <f>ROUND(Таб[[#This Row],[Зелений Тариф ЕЦ]]+Таб[[#This Row],[Зелений Тариф ЕЦ]]*Таб[[#This Row],[% надбавки]],4)</f>
        <v>0.46529999999999999</v>
      </c>
      <c r="S372" s="12"/>
      <c r="T372">
        <v>5.1999999999999998E-2</v>
      </c>
      <c r="U372">
        <v>7.3000000000000009E-2</v>
      </c>
      <c r="V372">
        <v>0.13800000000000001</v>
      </c>
      <c r="W372">
        <v>0.17499999999999999</v>
      </c>
      <c r="X372">
        <v>0.20700000000000002</v>
      </c>
      <c r="Y372">
        <v>0.20199999999999996</v>
      </c>
      <c r="Z372">
        <v>0.20900000000000007</v>
      </c>
      <c r="AA372">
        <v>0.17999999999999994</v>
      </c>
      <c r="AB372">
        <v>0.16700000000000004</v>
      </c>
      <c r="AC372">
        <v>7.6999999999999957E-2</v>
      </c>
      <c r="AD372">
        <v>2.6999999999999913E-2</v>
      </c>
      <c r="AE372">
        <v>2.100000000000013E-2</v>
      </c>
      <c r="AF372">
        <v>2.1000000000000001E-2</v>
      </c>
      <c r="AG372">
        <v>4.8000000000000001E-2</v>
      </c>
      <c r="AH372">
        <v>0.10199999999999999</v>
      </c>
      <c r="AI372">
        <v>0.182</v>
      </c>
      <c r="AJ372">
        <v>0.216</v>
      </c>
      <c r="AK372">
        <v>0.20899999999999999</v>
      </c>
      <c r="AL372">
        <v>0.19600000000000001</v>
      </c>
      <c r="AM372">
        <v>0.20100000000000001</v>
      </c>
      <c r="AN372">
        <v>0.126</v>
      </c>
      <c r="AO372">
        <v>0.112</v>
      </c>
      <c r="AP372">
        <v>5.2999999999999999E-2</v>
      </c>
      <c r="AQ372">
        <v>8.9999999999999993E-3</v>
      </c>
      <c r="AR372">
        <v>1.7000000000000001E-2</v>
      </c>
      <c r="AS372">
        <v>6.8000000000000005E-2</v>
      </c>
      <c r="AT372">
        <v>0.13700000000000001</v>
      </c>
      <c r="AU372">
        <v>0.17599999999999999</v>
      </c>
      <c r="AV372">
        <v>0.18</v>
      </c>
      <c r="AW372">
        <v>0.21099999999999999</v>
      </c>
      <c r="AX372">
        <v>0.216</v>
      </c>
      <c r="AY372">
        <v>0.20200000000000001</v>
      </c>
      <c r="BD3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42.859364585726652</v>
      </c>
      <c r="BE3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73.904124270989058</v>
      </c>
      <c r="BF3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124.68178788575025</v>
      </c>
      <c r="BG3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177.21907350696358</v>
      </c>
      <c r="BH3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218.19312880006294</v>
      </c>
      <c r="BI3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226.23711511527262</v>
      </c>
      <c r="BJ3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229.88204641435203</v>
      </c>
      <c r="BK3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198.71159944291449</v>
      </c>
      <c r="BL3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139.51288765441814</v>
      </c>
      <c r="BM3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89.61503504288298</v>
      </c>
      <c r="BN3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41.476804437799984</v>
      </c>
      <c r="BO3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35.06675284286726</v>
      </c>
      <c r="BP372">
        <f>SUM(Таб[[#This Row],[1]:[12]])</f>
        <v>1597.3597200000002</v>
      </c>
    </row>
    <row r="373" spans="2:68" ht="38.25">
      <c r="B373" t="s">
        <v>384</v>
      </c>
      <c r="C373" t="str">
        <f>IFERROR(VLOOKUP(Таб[[#This Row],[Зелений Тариф ЕЦ]],Sheet6!$H$9:$I$29,2,FALSE),"")</f>
        <v>Земля</v>
      </c>
      <c r="G373" s="1" t="s">
        <v>983</v>
      </c>
      <c r="H373" t="s">
        <v>136</v>
      </c>
      <c r="J373" s="7">
        <v>0.25</v>
      </c>
      <c r="K373" s="8"/>
      <c r="L373" s="8">
        <v>42516</v>
      </c>
      <c r="M373">
        <v>5</v>
      </c>
      <c r="N373" s="49" t="s">
        <v>57</v>
      </c>
      <c r="O373">
        <v>2016</v>
      </c>
      <c r="P373">
        <v>0.15989999999999999</v>
      </c>
      <c r="Q373" s="10"/>
      <c r="R373" s="11">
        <f>ROUND(Таб[[#This Row],[Зелений Тариф ЕЦ]]+Таб[[#This Row],[Зелений Тариф ЕЦ]]*Таб[[#This Row],[% надбавки]],4)</f>
        <v>0.15989999999999999</v>
      </c>
      <c r="S373" s="12"/>
      <c r="T373">
        <v>0.01</v>
      </c>
      <c r="U373">
        <v>1.4E-2</v>
      </c>
      <c r="V373">
        <v>2.6000000000000002E-2</v>
      </c>
      <c r="W373">
        <v>3.5000000000000003E-2</v>
      </c>
      <c r="X373">
        <v>4.3999999999999997E-2</v>
      </c>
      <c r="Y373">
        <v>4.3999999999999984E-2</v>
      </c>
      <c r="Z373">
        <v>2.4000000000000021E-2</v>
      </c>
      <c r="AA373">
        <v>3.5000000000000003E-2</v>
      </c>
      <c r="AB373">
        <v>3.3000000000000002E-2</v>
      </c>
      <c r="AC373">
        <v>1.2000000000000011E-2</v>
      </c>
      <c r="AD373">
        <v>4.9999999999999489E-3</v>
      </c>
      <c r="AE373">
        <v>4.0000000000000036E-3</v>
      </c>
      <c r="AF373">
        <v>5.0000000000000001E-3</v>
      </c>
      <c r="AG373">
        <v>8.9999999999999993E-3</v>
      </c>
      <c r="AH373">
        <v>1.9E-2</v>
      </c>
      <c r="AI373">
        <v>0.03</v>
      </c>
      <c r="AJ373">
        <v>3.7999999999999999E-2</v>
      </c>
      <c r="AK373">
        <v>3.9E-2</v>
      </c>
      <c r="AL373">
        <v>3.5000000000000003E-2</v>
      </c>
      <c r="AM373">
        <v>4.1000000000000002E-2</v>
      </c>
      <c r="AN373">
        <v>2.3E-2</v>
      </c>
      <c r="AO373">
        <v>1.7999999999999999E-2</v>
      </c>
      <c r="AP373">
        <v>8.0000000000000002E-3</v>
      </c>
      <c r="AQ373">
        <v>2E-3</v>
      </c>
      <c r="AR373">
        <v>3.0000000000000001E-3</v>
      </c>
      <c r="AS373">
        <v>7.0000000000000001E-3</v>
      </c>
      <c r="AT373">
        <v>1.2E-2</v>
      </c>
      <c r="AU373">
        <v>3.1E-2</v>
      </c>
      <c r="AV373">
        <v>3.7999999999999999E-2</v>
      </c>
      <c r="AW373">
        <v>4.2000000000000003E-2</v>
      </c>
      <c r="AX373">
        <v>4.1000000000000002E-2</v>
      </c>
      <c r="AY373">
        <v>4.1000000000000002E-2</v>
      </c>
      <c r="BD3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8.0502187426233398</v>
      </c>
      <c r="BE3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13.881315603115901</v>
      </c>
      <c r="BF3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23.4188181603588</v>
      </c>
      <c r="BG3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33.286828231961607</v>
      </c>
      <c r="BH3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40.982931780627901</v>
      </c>
      <c r="BI3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42.493823274844601</v>
      </c>
      <c r="BJ3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43.178445983161538</v>
      </c>
      <c r="BK3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37.323741443071839</v>
      </c>
      <c r="BL3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26.20452435282084</v>
      </c>
      <c r="BM3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16.832275552757885</v>
      </c>
      <c r="BN3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7.7905342670548432</v>
      </c>
      <c r="BO3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6.5865426076009133</v>
      </c>
      <c r="BP373">
        <f>SUM(Таб[[#This Row],[1]:[12]])</f>
        <v>300.03000000000003</v>
      </c>
    </row>
    <row r="374" spans="2:68" ht="51">
      <c r="B374" t="s">
        <v>384</v>
      </c>
      <c r="C374" t="str">
        <f>IFERROR(VLOOKUP(Таб[[#This Row],[Зелений Тариф ЕЦ]],Sheet6!$H$9:$I$29,2,FALSE),"")</f>
        <v>Земля</v>
      </c>
      <c r="G374" s="1" t="s">
        <v>987</v>
      </c>
      <c r="H374" t="s">
        <v>136</v>
      </c>
      <c r="J374" s="7">
        <v>2.7240000000000002</v>
      </c>
      <c r="K374" s="8"/>
      <c r="L374" s="8">
        <v>43524</v>
      </c>
      <c r="M374">
        <v>2</v>
      </c>
      <c r="N374" s="49" t="s">
        <v>67</v>
      </c>
      <c r="O374">
        <v>2019</v>
      </c>
      <c r="P374">
        <v>0.15029999999999999</v>
      </c>
      <c r="Q374" s="10"/>
      <c r="R374" s="11">
        <f>ROUND(Таб[[#This Row],[Зелений Тариф ЕЦ]]+Таб[[#This Row],[Зелений Тариф ЕЦ]]*Таб[[#This Row],[% надбавки]],4)</f>
        <v>0.15029999999999999</v>
      </c>
      <c r="S374" s="12"/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0.35699999999999998</v>
      </c>
      <c r="AV374">
        <v>0.38300000000000001</v>
      </c>
      <c r="AW374">
        <v>0.44700000000000001</v>
      </c>
      <c r="AX374">
        <v>0.443</v>
      </c>
      <c r="AY374">
        <v>0.61399999999999999</v>
      </c>
      <c r="BD3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87.715183419623912</v>
      </c>
      <c r="BE3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151.2508148115509</v>
      </c>
      <c r="BF3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255.1714426752695</v>
      </c>
      <c r="BG3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362.69328041545361</v>
      </c>
      <c r="BH3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446.55002468172165</v>
      </c>
      <c r="BI3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463.0126984027068</v>
      </c>
      <c r="BJ3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470.47234743252818</v>
      </c>
      <c r="BK3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406.67948676371083</v>
      </c>
      <c r="BL3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285.5244973483359</v>
      </c>
      <c r="BM3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183.40447442284994</v>
      </c>
      <c r="BN3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84.885661373829578</v>
      </c>
      <c r="BO3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71.766968252419559</v>
      </c>
      <c r="BP374">
        <f>SUM(Таб[[#This Row],[1]:[12]])</f>
        <v>3269.1268800000003</v>
      </c>
    </row>
    <row r="375" spans="2:68" ht="51">
      <c r="B375" t="s">
        <v>384</v>
      </c>
      <c r="C375" t="str">
        <f>IFERROR(VLOOKUP(Таб[[#This Row],[Зелений Тариф ЕЦ]],Sheet6!$H$9:$I$29,2,FALSE),"")</f>
        <v>Земля</v>
      </c>
      <c r="G375" s="1" t="s">
        <v>987</v>
      </c>
      <c r="H375" t="s">
        <v>136</v>
      </c>
      <c r="J375" s="7">
        <v>2.863</v>
      </c>
      <c r="K375" s="8"/>
      <c r="L375" s="8">
        <v>43692</v>
      </c>
      <c r="M375">
        <v>8</v>
      </c>
      <c r="N375" s="49" t="s">
        <v>60</v>
      </c>
      <c r="O375">
        <v>2019</v>
      </c>
      <c r="P375">
        <v>0.15029999999999999</v>
      </c>
      <c r="Q375" s="10"/>
      <c r="R375" s="11">
        <f>ROUND(Таб[[#This Row],[Зелений Тариф ЕЦ]]+Таб[[#This Row],[Зелений Тариф ЕЦ]]*Таб[[#This Row],[% надбавки]],4)</f>
        <v>0.15029999999999999</v>
      </c>
      <c r="S375" s="12"/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BD3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92.191105040522473</v>
      </c>
      <c r="BE3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158.96882628688331</v>
      </c>
      <c r="BF3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268.19230557242895</v>
      </c>
      <c r="BG3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381.20075691242431</v>
      </c>
      <c r="BH3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469.33653475175072</v>
      </c>
      <c r="BI3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486.63926414352034</v>
      </c>
      <c r="BJ3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494.47956339916595</v>
      </c>
      <c r="BK3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427.43148700605877</v>
      </c>
      <c r="BL3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300.09421288850427</v>
      </c>
      <c r="BM3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192.7632196301833</v>
      </c>
      <c r="BN3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89.217198426312081</v>
      </c>
      <c r="BO3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75.429085942245649</v>
      </c>
      <c r="BP375">
        <f>SUM(Таб[[#This Row],[1]:[12]])</f>
        <v>3435.9435600000006</v>
      </c>
    </row>
    <row r="376" spans="2:68" ht="63.75">
      <c r="B376" t="s">
        <v>384</v>
      </c>
      <c r="C376" t="str">
        <f>IFERROR(VLOOKUP(Таб[[#This Row],[Зелений Тариф ЕЦ]],Sheet6!$H$9:$I$29,2,FALSE),"")</f>
        <v>Земля</v>
      </c>
      <c r="G376" s="1" t="s">
        <v>989</v>
      </c>
      <c r="H376" t="s">
        <v>65</v>
      </c>
      <c r="J376" s="7">
        <v>5.9119999999999999</v>
      </c>
      <c r="K376" s="8"/>
      <c r="L376" s="8">
        <v>43277</v>
      </c>
      <c r="M376">
        <v>6</v>
      </c>
      <c r="N376" s="49" t="s">
        <v>57</v>
      </c>
      <c r="O376">
        <v>2018</v>
      </c>
      <c r="P376">
        <v>0.15029999999999999</v>
      </c>
      <c r="Q376" s="10"/>
      <c r="R376" s="11">
        <f>ROUND(Таб[[#This Row],[Зелений Тариф ЕЦ]]+Таб[[#This Row],[Зелений Тариф ЕЦ]]*Таб[[#This Row],[% надбавки]],4)</f>
        <v>0.15029999999999999</v>
      </c>
      <c r="S376" s="12"/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0.52</v>
      </c>
      <c r="AM376">
        <v>0.80900000000000005</v>
      </c>
      <c r="AN376">
        <v>0.69</v>
      </c>
      <c r="AO376">
        <v>0.56399999999999995</v>
      </c>
      <c r="AP376">
        <v>0.13100000000000001</v>
      </c>
      <c r="AQ376">
        <v>7.0000000000000007E-2</v>
      </c>
      <c r="AR376">
        <v>0.09</v>
      </c>
      <c r="AS376">
        <v>0.38500000000000001</v>
      </c>
      <c r="AT376">
        <v>0.60699999999999998</v>
      </c>
      <c r="AU376">
        <v>0.70099999999999996</v>
      </c>
      <c r="AV376">
        <v>0.65</v>
      </c>
      <c r="AW376">
        <v>0.879</v>
      </c>
      <c r="AX376">
        <v>0.92700000000000005</v>
      </c>
      <c r="AY376">
        <v>0.86399999999999999</v>
      </c>
      <c r="BD3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190.37157282555671</v>
      </c>
      <c r="BE3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328.26535138248482</v>
      </c>
      <c r="BF3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553.80821185616492</v>
      </c>
      <c r="BG3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787.16691402942774</v>
      </c>
      <c r="BH3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969.16437074828877</v>
      </c>
      <c r="BI3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1004.8939328035251</v>
      </c>
      <c r="BJ3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1021.0838906098043</v>
      </c>
      <c r="BK3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882.63183764576286</v>
      </c>
      <c r="BL3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619.68459189550731</v>
      </c>
      <c r="BM3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398.04965227161847</v>
      </c>
      <c r="BN3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184.23055434731293</v>
      </c>
      <c r="BO3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155.75855958454639</v>
      </c>
      <c r="BP376">
        <f>SUM(Таб[[#This Row],[1]:[12]])</f>
        <v>7095.1094400000011</v>
      </c>
    </row>
    <row r="377" spans="2:68" ht="25.5">
      <c r="B377" t="s">
        <v>384</v>
      </c>
      <c r="C377" t="str">
        <f>IFERROR(VLOOKUP(Таб[[#This Row],[Зелений Тариф ЕЦ]],Sheet6!$H$9:$I$29,2,FALSE),"")</f>
        <v>Земля</v>
      </c>
      <c r="G377" s="1" t="s">
        <v>991</v>
      </c>
      <c r="H377" t="s">
        <v>73</v>
      </c>
      <c r="J377" s="7">
        <v>1.8120000000000001</v>
      </c>
      <c r="K377" s="8"/>
      <c r="L377" s="8">
        <v>43396</v>
      </c>
      <c r="M377">
        <v>10</v>
      </c>
      <c r="N377" s="49" t="s">
        <v>71</v>
      </c>
      <c r="O377">
        <v>2018</v>
      </c>
      <c r="P377">
        <v>0.15029999999999999</v>
      </c>
      <c r="Q377" s="10"/>
      <c r="R377" s="11">
        <f>ROUND(Таб[[#This Row],[Зелений Тариф ЕЦ]]+Таб[[#This Row],[Зелений Тариф ЕЦ]]*Таб[[#This Row],[% надбавки]],4)</f>
        <v>0.15029999999999999</v>
      </c>
      <c r="S377" s="12"/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6.0999999999999999E-2</v>
      </c>
      <c r="AS377">
        <v>0.13800000000000001</v>
      </c>
      <c r="AT377">
        <v>0.33400000000000002</v>
      </c>
      <c r="AU377">
        <v>0.39600000000000002</v>
      </c>
      <c r="AV377">
        <v>0.41</v>
      </c>
      <c r="AW377">
        <v>0.152</v>
      </c>
      <c r="AX377">
        <v>0.46600000000000003</v>
      </c>
      <c r="AY377">
        <v>0.45100000000000001</v>
      </c>
      <c r="BD3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58.347985446533954</v>
      </c>
      <c r="BE3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100.61177549138407</v>
      </c>
      <c r="BF3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169.7395940262806</v>
      </c>
      <c r="BG3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241.26293102525773</v>
      </c>
      <c r="BH3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297.04428954599103</v>
      </c>
      <c r="BI3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307.99523109607367</v>
      </c>
      <c r="BJ3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312.95737648595485</v>
      </c>
      <c r="BK3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270.52247797938469</v>
      </c>
      <c r="BL3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189.93039250924545</v>
      </c>
      <c r="BM3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122.00033320638914</v>
      </c>
      <c r="BN3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56.465792367613517</v>
      </c>
      <c r="BO3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47.739260819891427</v>
      </c>
      <c r="BP377">
        <f>SUM(Таб[[#This Row],[1]:[12]])</f>
        <v>2174.6174400000004</v>
      </c>
    </row>
    <row r="378" spans="2:68" ht="25.5">
      <c r="B378" t="s">
        <v>384</v>
      </c>
      <c r="C378" t="str">
        <f>IFERROR(VLOOKUP(Таб[[#This Row],[Зелений Тариф ЕЦ]],Sheet6!$H$9:$I$29,2,FALSE),"")</f>
        <v>Земля</v>
      </c>
      <c r="G378" s="1" t="s">
        <v>991</v>
      </c>
      <c r="H378" t="s">
        <v>73</v>
      </c>
      <c r="J378" s="7">
        <v>1.0269999999999999</v>
      </c>
      <c r="K378" s="8"/>
      <c r="L378" s="8">
        <v>43455</v>
      </c>
      <c r="M378">
        <v>12</v>
      </c>
      <c r="N378" s="49" t="s">
        <v>71</v>
      </c>
      <c r="O378">
        <v>2018</v>
      </c>
      <c r="P378">
        <v>0.15029999999999999</v>
      </c>
      <c r="Q378" s="10"/>
      <c r="R378" s="11">
        <f>ROUND(Таб[[#This Row],[Зелений Тариф ЕЦ]]+Таб[[#This Row],[Зелений Тариф ЕЦ]]*Таб[[#This Row],[% надбавки]],4)</f>
        <v>0.15029999999999999</v>
      </c>
      <c r="S378" s="12"/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BD3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33.070298594696673</v>
      </c>
      <c r="BE3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57.024444497600122</v>
      </c>
      <c r="BF3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96.204505002753962</v>
      </c>
      <c r="BG3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136.74229037689824</v>
      </c>
      <c r="BH3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168.3578837548194</v>
      </c>
      <c r="BI3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174.5646260130616</v>
      </c>
      <c r="BJ3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177.37705609882758</v>
      </c>
      <c r="BK3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153.32592984813908</v>
      </c>
      <c r="BL3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107.64818604138802</v>
      </c>
      <c r="BM3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69.146987970729398</v>
      </c>
      <c r="BN3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32.003514769061297</v>
      </c>
      <c r="BO3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27.057517032024549</v>
      </c>
      <c r="BP378">
        <f>SUM(Таб[[#This Row],[1]:[12]])</f>
        <v>1232.52324</v>
      </c>
    </row>
    <row r="379" spans="2:68" ht="38.25">
      <c r="B379" t="s">
        <v>384</v>
      </c>
      <c r="C379" t="str">
        <f>IFERROR(VLOOKUP(Таб[[#This Row],[Зелений Тариф ЕЦ]],Sheet6!$H$9:$I$29,2,FALSE),"")</f>
        <v>Земля</v>
      </c>
      <c r="G379" s="1" t="s">
        <v>996</v>
      </c>
      <c r="H379" t="s">
        <v>73</v>
      </c>
      <c r="J379" s="7">
        <v>9.9949999999999992</v>
      </c>
      <c r="K379" s="8"/>
      <c r="L379" s="8">
        <v>43581</v>
      </c>
      <c r="M379">
        <v>4</v>
      </c>
      <c r="N379" s="49" t="s">
        <v>57</v>
      </c>
      <c r="O379">
        <v>2019</v>
      </c>
      <c r="P379">
        <v>0.15029999999999999</v>
      </c>
      <c r="Q379" s="10"/>
      <c r="R379" s="11">
        <f>ROUND(Таб[[#This Row],[Зелений Тариф ЕЦ]]+Таб[[#This Row],[Зелений Тариф ЕЦ]]*Таб[[#This Row],[% надбавки]],4)</f>
        <v>0.15029999999999999</v>
      </c>
      <c r="S379" s="12"/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3.0000000000000001E-3</v>
      </c>
      <c r="AW379">
        <v>1.339</v>
      </c>
      <c r="AX379">
        <v>1.679</v>
      </c>
      <c r="AY379">
        <v>1.6459999999999999</v>
      </c>
      <c r="BD3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321.84774533008107</v>
      </c>
      <c r="BE3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554.97499781257375</v>
      </c>
      <c r="BF3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936.28435005114477</v>
      </c>
      <c r="BG3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1330.8073927138246</v>
      </c>
      <c r="BH3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1638.4976125895034</v>
      </c>
      <c r="BI3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1698.9030545282872</v>
      </c>
      <c r="BJ3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1726.2742704067982</v>
      </c>
      <c r="BK3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1492.2031828940121</v>
      </c>
      <c r="BL3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1047.656883625777</v>
      </c>
      <c r="BM3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672.95437659926029</v>
      </c>
      <c r="BN3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311.46555999685262</v>
      </c>
      <c r="BO3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263.32997345188448</v>
      </c>
      <c r="BP379">
        <f>SUM(Таб[[#This Row],[1]:[12]])</f>
        <v>11995.1994</v>
      </c>
    </row>
    <row r="380" spans="2:68" ht="25.5">
      <c r="B380" t="s">
        <v>384</v>
      </c>
      <c r="C380" t="str">
        <f>IFERROR(VLOOKUP(Таб[[#This Row],[Зелений Тариф ЕЦ]],Sheet6!$H$9:$I$29,2,FALSE),"")</f>
        <v>Земля</v>
      </c>
      <c r="G380" s="1" t="s">
        <v>998</v>
      </c>
      <c r="H380" t="s">
        <v>255</v>
      </c>
      <c r="J380" s="7">
        <v>0.08</v>
      </c>
      <c r="K380" s="8"/>
      <c r="L380" s="8">
        <v>43130</v>
      </c>
      <c r="M380">
        <v>1</v>
      </c>
      <c r="N380" s="49" t="s">
        <v>67</v>
      </c>
      <c r="O380">
        <v>2018</v>
      </c>
      <c r="P380">
        <v>0.15029999999999999</v>
      </c>
      <c r="Q380" s="10"/>
      <c r="R380" s="11">
        <f>ROUND(Таб[[#This Row],[Зелений Тариф ЕЦ]]+Таб[[#This Row],[Зелений Тариф ЕЦ]]*Таб[[#This Row],[% надбавки]],4)</f>
        <v>0.15029999999999999</v>
      </c>
      <c r="S380" s="12"/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2E-3</v>
      </c>
      <c r="AS380">
        <v>4.0000000000000001E-3</v>
      </c>
      <c r="AT380">
        <v>8.0000000000000002E-3</v>
      </c>
      <c r="AU380">
        <v>1.0999999999999999E-2</v>
      </c>
      <c r="AV380">
        <v>1.0999999999999999E-2</v>
      </c>
      <c r="AW380">
        <v>1.4E-2</v>
      </c>
      <c r="AX380">
        <v>1.2999999999999999E-2</v>
      </c>
      <c r="AY380">
        <v>1.2999999999999999E-2</v>
      </c>
      <c r="BD3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2.5760699976394683</v>
      </c>
      <c r="BE3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4.4420209929970884</v>
      </c>
      <c r="BF3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7.4940218113148163</v>
      </c>
      <c r="BG3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10.651785034227713</v>
      </c>
      <c r="BH3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13.114538169800928</v>
      </c>
      <c r="BI3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13.598023447950276</v>
      </c>
      <c r="BJ3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13.817102714611693</v>
      </c>
      <c r="BK3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11.943597261782987</v>
      </c>
      <c r="BL3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8.385447792902669</v>
      </c>
      <c r="BM3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5.3863281768825244</v>
      </c>
      <c r="BN3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2.49297096545755</v>
      </c>
      <c r="BO3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2.1076936344322919</v>
      </c>
      <c r="BP380">
        <f>SUM(Таб[[#This Row],[1]:[12]])</f>
        <v>96.009599999999992</v>
      </c>
    </row>
    <row r="381" spans="2:68" ht="38.25">
      <c r="B381" t="s">
        <v>384</v>
      </c>
      <c r="C381" t="str">
        <f>IFERROR(VLOOKUP(Таб[[#This Row],[Зелений Тариф ЕЦ]],Sheet6!$H$9:$I$29,2,FALSE),"")</f>
        <v>Земля</v>
      </c>
      <c r="G381" s="1" t="s">
        <v>1000</v>
      </c>
      <c r="H381" t="s">
        <v>198</v>
      </c>
      <c r="J381" s="7">
        <v>7.08</v>
      </c>
      <c r="K381" s="8"/>
      <c r="L381" s="8">
        <v>43627</v>
      </c>
      <c r="M381">
        <v>6</v>
      </c>
      <c r="N381" s="49" t="s">
        <v>57</v>
      </c>
      <c r="O381">
        <v>2019</v>
      </c>
      <c r="P381">
        <v>0.15029999999999999</v>
      </c>
      <c r="Q381" s="10"/>
      <c r="R381" s="11">
        <f>ROUND(Таб[[#This Row],[Зелений Тариф ЕЦ]]+Таб[[#This Row],[Зелений Тариф ЕЦ]]*Таб[[#This Row],[% надбавки]],4)</f>
        <v>0.15029999999999999</v>
      </c>
      <c r="S381" s="12"/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0.98699999999999999</v>
      </c>
      <c r="BD3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227.98219479109295</v>
      </c>
      <c r="BE3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393.11885788024244</v>
      </c>
      <c r="BF3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663.22093030136125</v>
      </c>
      <c r="BG3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942.6829755291526</v>
      </c>
      <c r="BH3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1160.6366280273821</v>
      </c>
      <c r="BI3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1203.4250751435991</v>
      </c>
      <c r="BJ3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1222.8135902431347</v>
      </c>
      <c r="BK3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1057.0083576677946</v>
      </c>
      <c r="BL3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742.11212967188624</v>
      </c>
      <c r="BM3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476.69004365410331</v>
      </c>
      <c r="BN3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220.62793044299318</v>
      </c>
      <c r="BO3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186.53088664725786</v>
      </c>
      <c r="BP381">
        <f>SUM(Таб[[#This Row],[1]:[12]])</f>
        <v>8496.8496000000032</v>
      </c>
    </row>
    <row r="382" spans="2:68" ht="38.25">
      <c r="B382" t="s">
        <v>384</v>
      </c>
      <c r="C382" t="str">
        <f>IFERROR(VLOOKUP(Таб[[#This Row],[Зелений Тариф ЕЦ]],Sheet6!$H$9:$I$29,2,FALSE),"")</f>
        <v>Земля</v>
      </c>
      <c r="G382" s="1" t="s">
        <v>1003</v>
      </c>
      <c r="H382" t="s">
        <v>198</v>
      </c>
      <c r="J382" s="7">
        <v>3.18</v>
      </c>
      <c r="K382" s="8"/>
      <c r="L382" s="8">
        <v>42509</v>
      </c>
      <c r="M382">
        <v>5</v>
      </c>
      <c r="N382" s="49" t="s">
        <v>57</v>
      </c>
      <c r="O382">
        <v>2016</v>
      </c>
      <c r="P382">
        <v>0.15989999999999999</v>
      </c>
      <c r="Q382" s="10">
        <v>0.05</v>
      </c>
      <c r="R382" s="11">
        <f>ROUND(Таб[[#This Row],[Зелений Тариф ЕЦ]]+Таб[[#This Row],[Зелений Тариф ЕЦ]]*Таб[[#This Row],[% надбавки]],4)</f>
        <v>0.16789999999999999</v>
      </c>
      <c r="S382" s="12">
        <v>42999</v>
      </c>
      <c r="T382">
        <v>0.34</v>
      </c>
      <c r="U382">
        <v>0.58400000000000007</v>
      </c>
      <c r="V382">
        <v>0.93600000000000005</v>
      </c>
      <c r="W382">
        <v>1.4690000000000001</v>
      </c>
      <c r="X382">
        <v>1.5909999999999997</v>
      </c>
      <c r="Y382">
        <v>1.6280000000000001</v>
      </c>
      <c r="Z382">
        <v>1.6069999999999993</v>
      </c>
      <c r="AA382">
        <v>1.543000000000001</v>
      </c>
      <c r="AB382">
        <v>1.1079999999999988</v>
      </c>
      <c r="AC382">
        <v>0.61100000000000065</v>
      </c>
      <c r="AD382">
        <v>0.26399999999999935</v>
      </c>
      <c r="AE382">
        <v>0.15700000000000003</v>
      </c>
      <c r="AF382">
        <v>0.35</v>
      </c>
      <c r="AG382">
        <v>0.51300000000000001</v>
      </c>
      <c r="AH382">
        <v>0.92200000000000004</v>
      </c>
      <c r="AI382">
        <v>1.575</v>
      </c>
      <c r="AJ382">
        <v>1.6639999999999999</v>
      </c>
      <c r="AK382">
        <v>1.385</v>
      </c>
      <c r="AL382">
        <v>1.4259999999999999</v>
      </c>
      <c r="AM382">
        <v>1.6040000000000001</v>
      </c>
      <c r="AN382">
        <v>1.1080000000000001</v>
      </c>
      <c r="AO382">
        <v>1.034</v>
      </c>
      <c r="AP382">
        <v>0.252</v>
      </c>
      <c r="AQ382">
        <v>0.11799999999999999</v>
      </c>
      <c r="AR382">
        <v>0.155</v>
      </c>
      <c r="AS382">
        <v>0.46100000000000002</v>
      </c>
      <c r="AT382">
        <v>0.92700000000000005</v>
      </c>
      <c r="AU382">
        <v>1.353</v>
      </c>
      <c r="AV382">
        <v>1.2749999999999999</v>
      </c>
      <c r="AW382">
        <v>1.726</v>
      </c>
      <c r="AX382">
        <v>1.542</v>
      </c>
      <c r="AY382">
        <v>1.579</v>
      </c>
      <c r="BD3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102.39878240616889</v>
      </c>
      <c r="BE3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176.57033447163431</v>
      </c>
      <c r="BF3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297.88736699976391</v>
      </c>
      <c r="BG3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423.40845511055164</v>
      </c>
      <c r="BH3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521.30289224958688</v>
      </c>
      <c r="BI3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540.5214320560234</v>
      </c>
      <c r="BJ3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549.22983290581487</v>
      </c>
      <c r="BK3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474.75799115587381</v>
      </c>
      <c r="BL3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333.32154976788104</v>
      </c>
      <c r="BM3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214.10654503108032</v>
      </c>
      <c r="BN3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99.095595876937608</v>
      </c>
      <c r="BO3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83.780821968683611</v>
      </c>
      <c r="BP382">
        <f>SUM(Таб[[#This Row],[1]:[12]])</f>
        <v>3816.3816000000002</v>
      </c>
    </row>
    <row r="383" spans="2:68" ht="38.25">
      <c r="B383" t="s">
        <v>384</v>
      </c>
      <c r="C383" t="str">
        <f>IFERROR(VLOOKUP(Таб[[#This Row],[Зелений Тариф ЕЦ]],Sheet6!$H$9:$I$29,2,FALSE),"")</f>
        <v>Земля</v>
      </c>
      <c r="G383" s="1" t="s">
        <v>1003</v>
      </c>
      <c r="H383" t="s">
        <v>198</v>
      </c>
      <c r="J383" s="7">
        <v>6.8179999999999996</v>
      </c>
      <c r="K383" s="8"/>
      <c r="L383" s="8">
        <v>42531</v>
      </c>
      <c r="M383">
        <v>6</v>
      </c>
      <c r="N383" s="49" t="s">
        <v>57</v>
      </c>
      <c r="O383">
        <v>2016</v>
      </c>
      <c r="P383">
        <v>0.15989999999999999</v>
      </c>
      <c r="Q383" s="10">
        <v>0.05</v>
      </c>
      <c r="R383" s="11">
        <f>ROUND(Таб[[#This Row],[Зелений Тариф ЕЦ]]+Таб[[#This Row],[Зелений Тариф ЕЦ]]*Таб[[#This Row],[% надбавки]],4)</f>
        <v>0.16789999999999999</v>
      </c>
      <c r="S383" s="12">
        <v>42999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BD3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219.5455655488237</v>
      </c>
      <c r="BE3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378.5712391281769</v>
      </c>
      <c r="BF3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638.67800886930524</v>
      </c>
      <c r="BG3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907.79837954205675</v>
      </c>
      <c r="BH3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1117.686515521284</v>
      </c>
      <c r="BI3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1158.8915483515618</v>
      </c>
      <c r="BJ3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1177.5625788527814</v>
      </c>
      <c r="BK3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1017.8930766354551</v>
      </c>
      <c r="BL3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714.64978815012978</v>
      </c>
      <c r="BM3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459.04981887481301</v>
      </c>
      <c r="BN3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212.46345053111969</v>
      </c>
      <c r="BO3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179.62818999449209</v>
      </c>
      <c r="BP383">
        <f>SUM(Таб[[#This Row],[1]:[12]])</f>
        <v>8182.4181600000002</v>
      </c>
    </row>
    <row r="384" spans="2:68" ht="38.25">
      <c r="B384" t="s">
        <v>384</v>
      </c>
      <c r="C384" t="str">
        <f>IFERROR(VLOOKUP(Таб[[#This Row],[Зелений Тариф ЕЦ]],Sheet6!$H$9:$I$29,2,FALSE),"")</f>
        <v>Земля</v>
      </c>
      <c r="D384" t="s">
        <v>3365</v>
      </c>
      <c r="E384" t="s">
        <v>3363</v>
      </c>
      <c r="F384" t="s">
        <v>3364</v>
      </c>
      <c r="G384" s="1" t="s">
        <v>1007</v>
      </c>
      <c r="H384" t="s">
        <v>172</v>
      </c>
      <c r="J384" s="7">
        <v>63.8</v>
      </c>
      <c r="K384" s="8"/>
      <c r="L384" s="8">
        <v>43476</v>
      </c>
      <c r="M384">
        <v>1</v>
      </c>
      <c r="N384" s="49" t="s">
        <v>67</v>
      </c>
      <c r="O384">
        <v>2019</v>
      </c>
      <c r="P384">
        <v>0.15029999999999999</v>
      </c>
      <c r="Q384" s="10">
        <v>0.05</v>
      </c>
      <c r="R384" s="11">
        <f>ROUND(Таб[[#This Row],[Зелений Тариф ЕЦ]]+Таб[[#This Row],[Зелений Тариф ЕЦ]]*Таб[[#This Row],[% надбавки]],4)</f>
        <v>0.1578</v>
      </c>
      <c r="S384" s="12">
        <v>43476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2.2909999999999999</v>
      </c>
      <c r="AT384">
        <v>6.3929999999999998</v>
      </c>
      <c r="AU384">
        <v>7.9560000000000004</v>
      </c>
      <c r="AV384">
        <v>7.8550000000000004</v>
      </c>
      <c r="AW384">
        <v>10.606</v>
      </c>
      <c r="AX384">
        <v>10.026999999999999</v>
      </c>
      <c r="AY384">
        <v>9.84</v>
      </c>
      <c r="BD3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2054.4158231174761</v>
      </c>
      <c r="BE3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3542.5117419151784</v>
      </c>
      <c r="BF3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5976.4823945235657</v>
      </c>
      <c r="BG3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8494.7985647965997</v>
      </c>
      <c r="BH3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10458.844190416239</v>
      </c>
      <c r="BI3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10844.423699740342</v>
      </c>
      <c r="BJ3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11019.139414902824</v>
      </c>
      <c r="BK3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9525.0188162719332</v>
      </c>
      <c r="BL3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6687.3946148398782</v>
      </c>
      <c r="BM3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4295.5967210638128</v>
      </c>
      <c r="BN3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1988.1443449523963</v>
      </c>
      <c r="BO3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1680.885673459753</v>
      </c>
      <c r="BP384">
        <f>SUM(Таб[[#This Row],[1]:[12]])</f>
        <v>76567.656000000003</v>
      </c>
    </row>
    <row r="385" spans="2:68" ht="38.25">
      <c r="B385" t="s">
        <v>384</v>
      </c>
      <c r="C385" t="str">
        <f>IFERROR(VLOOKUP(Таб[[#This Row],[Зелений Тариф ЕЦ]],Sheet6!$H$9:$I$29,2,FALSE),"")</f>
        <v>Земля</v>
      </c>
      <c r="D385" t="s">
        <v>3362</v>
      </c>
      <c r="F385" t="s">
        <v>3287</v>
      </c>
      <c r="G385" s="1" t="s">
        <v>1011</v>
      </c>
      <c r="H385" t="s">
        <v>198</v>
      </c>
      <c r="J385" s="7">
        <v>7.9820000000000002</v>
      </c>
      <c r="K385" s="8"/>
      <c r="L385" s="8">
        <v>41795</v>
      </c>
      <c r="M385">
        <v>6</v>
      </c>
      <c r="N385" s="49" t="s">
        <v>57</v>
      </c>
      <c r="O385">
        <v>2014</v>
      </c>
      <c r="P385">
        <v>0.33929999999999999</v>
      </c>
      <c r="Q385" s="10"/>
      <c r="R385" s="11">
        <f>ROUND(Таб[[#This Row],[Зелений Тариф ЕЦ]]+Таб[[#This Row],[Зелений Тариф ЕЦ]]*Таб[[#This Row],[% надбавки]],4)</f>
        <v>0.33929999999999999</v>
      </c>
      <c r="S385" s="12"/>
      <c r="T385">
        <v>0.251</v>
      </c>
      <c r="U385">
        <v>0.44999999999999996</v>
      </c>
      <c r="V385">
        <v>0.80999999999999994</v>
      </c>
      <c r="W385">
        <v>1.1340000000000001</v>
      </c>
      <c r="X385">
        <v>1.2719999999999998</v>
      </c>
      <c r="Y385">
        <v>1.3200000000000003</v>
      </c>
      <c r="Z385">
        <v>1.2549999999999999</v>
      </c>
      <c r="AA385">
        <v>1.1980000000000004</v>
      </c>
      <c r="AB385">
        <v>0.87999999999999989</v>
      </c>
      <c r="AC385">
        <v>0.4789999999999992</v>
      </c>
      <c r="AD385">
        <v>0.21000000000000085</v>
      </c>
      <c r="AE385">
        <v>0.12899999999999956</v>
      </c>
      <c r="AF385">
        <v>0.28699999999999998</v>
      </c>
      <c r="AG385">
        <v>0.36399999999999999</v>
      </c>
      <c r="AH385">
        <v>0.68899999999999995</v>
      </c>
      <c r="AI385">
        <v>1.2709999999999999</v>
      </c>
      <c r="AJ385">
        <v>1.339</v>
      </c>
      <c r="AK385">
        <v>1.1599999999999999</v>
      </c>
      <c r="AL385">
        <v>1.1519999999999999</v>
      </c>
      <c r="AM385">
        <v>1.345</v>
      </c>
      <c r="AN385">
        <v>0.88300000000000001</v>
      </c>
      <c r="AO385">
        <v>0.82599999999999996</v>
      </c>
      <c r="AP385">
        <v>0.20899999999999999</v>
      </c>
      <c r="AQ385">
        <v>0.11799999999999999</v>
      </c>
      <c r="AR385">
        <v>0.113</v>
      </c>
      <c r="AS385">
        <v>0.33700000000000002</v>
      </c>
      <c r="AT385">
        <v>0.76200000000000001</v>
      </c>
      <c r="AU385">
        <v>1.0860000000000001</v>
      </c>
      <c r="AV385">
        <v>1.0900000000000001</v>
      </c>
      <c r="AW385">
        <v>1.337</v>
      </c>
      <c r="AX385">
        <v>1.2310000000000001</v>
      </c>
      <c r="AY385">
        <v>1.224</v>
      </c>
      <c r="BD3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257.02738401447795</v>
      </c>
      <c r="BE3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443.20264457628457</v>
      </c>
      <c r="BF3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747.71602622393584</v>
      </c>
      <c r="BG3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1062.78185179007</v>
      </c>
      <c r="BH3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1308.5030458918877</v>
      </c>
      <c r="BI3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1356.7427895192384</v>
      </c>
      <c r="BJ3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1378.6014233503818</v>
      </c>
      <c r="BK3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1191.6724167943978</v>
      </c>
      <c r="BL3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836.6580535368638</v>
      </c>
      <c r="BM3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537.42089384845383</v>
      </c>
      <c r="BN3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248.73617807852705</v>
      </c>
      <c r="BO3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210.29513237548196</v>
      </c>
      <c r="BP385">
        <f>SUM(Таб[[#This Row],[1]:[12]])</f>
        <v>9579.3578400000006</v>
      </c>
    </row>
    <row r="386" spans="2:68" ht="38.25">
      <c r="B386" t="s">
        <v>384</v>
      </c>
      <c r="C386" t="str">
        <f>IFERROR(VLOOKUP(Таб[[#This Row],[Зелений Тариф ЕЦ]],Sheet6!$H$9:$I$29,2,FALSE),"")</f>
        <v>Земля</v>
      </c>
      <c r="D386" t="s">
        <v>3362</v>
      </c>
      <c r="F386" t="s">
        <v>3287</v>
      </c>
      <c r="G386" s="1" t="s">
        <v>1011</v>
      </c>
      <c r="H386" t="s">
        <v>198</v>
      </c>
      <c r="J386" s="7">
        <v>8.2260000000000009</v>
      </c>
      <c r="K386" s="8"/>
      <c r="L386" s="8">
        <v>42712</v>
      </c>
      <c r="M386">
        <v>12</v>
      </c>
      <c r="N386" s="49" t="s">
        <v>71</v>
      </c>
      <c r="O386">
        <v>2016</v>
      </c>
      <c r="P386">
        <v>0.15989999999999999</v>
      </c>
      <c r="Q386" s="10">
        <v>0.05</v>
      </c>
      <c r="R386" s="11">
        <f>ROUND(Таб[[#This Row],[Зелений Тариф ЕЦ]]+Таб[[#This Row],[Зелений Тариф ЕЦ]]*Таб[[#This Row],[% надбавки]],4)</f>
        <v>0.16789999999999999</v>
      </c>
      <c r="S386" s="12">
        <v>43277</v>
      </c>
      <c r="T386">
        <v>0.28000000000000003</v>
      </c>
      <c r="U386">
        <v>0.47099999999999997</v>
      </c>
      <c r="V386">
        <v>0.74400000000000011</v>
      </c>
      <c r="W386">
        <v>1.19</v>
      </c>
      <c r="X386">
        <v>1.3160000000000003</v>
      </c>
      <c r="Y386">
        <v>1.3689999999999998</v>
      </c>
      <c r="Z386">
        <v>1.3339999999999996</v>
      </c>
      <c r="AA386">
        <v>1.2670000000000003</v>
      </c>
      <c r="AB386">
        <v>0.91000000000000014</v>
      </c>
      <c r="AC386">
        <v>0.48199999999999932</v>
      </c>
      <c r="AD386">
        <v>0.22300000000000075</v>
      </c>
      <c r="AE386">
        <v>0.13499999999999979</v>
      </c>
      <c r="AF386">
        <v>0.26</v>
      </c>
      <c r="AG386">
        <v>0.39700000000000002</v>
      </c>
      <c r="AH386">
        <v>0.76100000000000001</v>
      </c>
      <c r="AI386">
        <v>1.2769999999999999</v>
      </c>
      <c r="AJ386">
        <v>1.407</v>
      </c>
      <c r="AK386">
        <v>1.1850000000000001</v>
      </c>
      <c r="AL386">
        <v>1.224</v>
      </c>
      <c r="AM386">
        <v>1.37</v>
      </c>
      <c r="AN386">
        <v>0.91100000000000003</v>
      </c>
      <c r="AO386">
        <v>0.83399999999999996</v>
      </c>
      <c r="AP386">
        <v>0.20100000000000001</v>
      </c>
      <c r="AQ386">
        <v>9.7000000000000003E-2</v>
      </c>
      <c r="AR386">
        <v>0.13600000000000001</v>
      </c>
      <c r="AS386">
        <v>0.372</v>
      </c>
      <c r="AT386">
        <v>0.74099999999999999</v>
      </c>
      <c r="AU386">
        <v>1.107</v>
      </c>
      <c r="AV386">
        <v>1.0509999999999999</v>
      </c>
      <c r="AW386">
        <v>1.429</v>
      </c>
      <c r="AX386">
        <v>1.2949999999999999</v>
      </c>
      <c r="AY386">
        <v>1.3320000000000001</v>
      </c>
      <c r="BD3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264.88439750727832</v>
      </c>
      <c r="BE3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456.75080860492562</v>
      </c>
      <c r="BF3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770.57279274844609</v>
      </c>
      <c r="BG3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1095.2697961444646</v>
      </c>
      <c r="BH3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1348.5023873097807</v>
      </c>
      <c r="BI3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1398.216761035487</v>
      </c>
      <c r="BJ3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1420.7435866299475</v>
      </c>
      <c r="BK3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1228.100388442836</v>
      </c>
      <c r="BL3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862.23366930521695</v>
      </c>
      <c r="BM3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553.84919478794552</v>
      </c>
      <c r="BN3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256.33973952317263</v>
      </c>
      <c r="BO3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216.72359796050046</v>
      </c>
      <c r="BP386">
        <f>SUM(Таб[[#This Row],[1]:[12]])</f>
        <v>9872.1871200000023</v>
      </c>
    </row>
    <row r="387" spans="2:68" ht="38.25">
      <c r="B387" t="s">
        <v>384</v>
      </c>
      <c r="C387" t="str">
        <f>IFERROR(VLOOKUP(Таб[[#This Row],[Зелений Тариф ЕЦ]],Sheet6!$H$9:$I$29,2,FALSE),"")</f>
        <v>Земля</v>
      </c>
      <c r="D387" t="s">
        <v>3362</v>
      </c>
      <c r="F387" t="s">
        <v>3287</v>
      </c>
      <c r="G387" s="1" t="s">
        <v>1011</v>
      </c>
      <c r="H387" t="s">
        <v>73</v>
      </c>
      <c r="J387" s="7">
        <v>18.064</v>
      </c>
      <c r="K387" s="8"/>
      <c r="L387" s="8">
        <v>43277</v>
      </c>
      <c r="M387">
        <v>6</v>
      </c>
      <c r="N387" s="49" t="s">
        <v>57</v>
      </c>
      <c r="O387">
        <v>2018</v>
      </c>
      <c r="P387">
        <v>0.15029999999999999</v>
      </c>
      <c r="Q387" s="10">
        <v>0.05</v>
      </c>
      <c r="R387" s="11">
        <f>ROUND(Таб[[#This Row],[Зелений Тариф ЕЦ]]+Таб[[#This Row],[Зелений Тариф ЕЦ]]*Таб[[#This Row],[% надбавки]],4)</f>
        <v>0.1578</v>
      </c>
      <c r="S387" s="12">
        <v>43371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0.747</v>
      </c>
      <c r="AL387">
        <v>2.5470000000000002</v>
      </c>
      <c r="AM387">
        <v>3.1509999999999998</v>
      </c>
      <c r="AN387">
        <v>2.1230000000000002</v>
      </c>
      <c r="AO387">
        <v>2.1869999999999998</v>
      </c>
      <c r="AP387">
        <v>0.79600000000000004</v>
      </c>
      <c r="AQ387">
        <v>0.34300000000000003</v>
      </c>
      <c r="AR387">
        <v>0.439</v>
      </c>
      <c r="AS387">
        <v>0.94799999999999995</v>
      </c>
      <c r="AT387">
        <v>2.3740000000000001</v>
      </c>
      <c r="AU387">
        <v>2.7130000000000001</v>
      </c>
      <c r="AV387">
        <v>2.7770000000000001</v>
      </c>
      <c r="AW387">
        <v>2.8580000000000001</v>
      </c>
      <c r="AX387">
        <v>2.9820000000000002</v>
      </c>
      <c r="AY387">
        <v>2.9049999999999998</v>
      </c>
      <c r="BD3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581.67660546699199</v>
      </c>
      <c r="BE3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1003.0083402187427</v>
      </c>
      <c r="BF3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1692.1501249948853</v>
      </c>
      <c r="BG3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2405.1730607286172</v>
      </c>
      <c r="BH3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2961.2627187410494</v>
      </c>
      <c r="BI3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3070.4336945471714</v>
      </c>
      <c r="BJ3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3119.9017929593197</v>
      </c>
      <c r="BK3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2696.8642617105988</v>
      </c>
      <c r="BL3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1893.4341116374226</v>
      </c>
      <c r="BM3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1216.2329023400739</v>
      </c>
      <c r="BN3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562.91284400031486</v>
      </c>
      <c r="BO3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475.91722265481155</v>
      </c>
      <c r="BP387">
        <f>SUM(Таб[[#This Row],[1]:[12]])</f>
        <v>21678.967679999998</v>
      </c>
    </row>
    <row r="388" spans="2:68" ht="38.25">
      <c r="B388" t="s">
        <v>384</v>
      </c>
      <c r="C388" t="str">
        <f>IFERROR(VLOOKUP(Таб[[#This Row],[Зелений Тариф ЕЦ]],Sheet6!$H$9:$I$29,2,FALSE),"")</f>
        <v>Земля</v>
      </c>
      <c r="G388" s="1" t="s">
        <v>1018</v>
      </c>
      <c r="H388" t="s">
        <v>122</v>
      </c>
      <c r="J388" s="7">
        <v>4.2380000000000004</v>
      </c>
      <c r="K388" s="8"/>
      <c r="L388" s="8">
        <v>43548</v>
      </c>
      <c r="M388">
        <v>3</v>
      </c>
      <c r="N388" s="49" t="s">
        <v>67</v>
      </c>
      <c r="O388">
        <v>2019</v>
      </c>
      <c r="P388">
        <v>0.15029999999999999</v>
      </c>
      <c r="Q388" s="10"/>
      <c r="R388" s="11">
        <f>ROUND(Таб[[#This Row],[Зелений Тариф ЕЦ]]+Таб[[#This Row],[Зелений Тариф ЕЦ]]*Таб[[#This Row],[% надбавки]],4)</f>
        <v>0.15029999999999999</v>
      </c>
      <c r="S388" s="12"/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BD3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136.46730812495085</v>
      </c>
      <c r="BE3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235.31606210402083</v>
      </c>
      <c r="BF3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396.99580545440244</v>
      </c>
      <c r="BG3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564.27831218821314</v>
      </c>
      <c r="BH3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694.74265954520422</v>
      </c>
      <c r="BI3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720.35529215516567</v>
      </c>
      <c r="BJ3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731.96101630655448</v>
      </c>
      <c r="BK3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632.71206494295393</v>
      </c>
      <c r="BL3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444.21909682901889</v>
      </c>
      <c r="BM3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285.34073517035176</v>
      </c>
      <c r="BN3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132.06513689511371</v>
      </c>
      <c r="BO3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111.65507028405068</v>
      </c>
      <c r="BP388">
        <f>SUM(Таб[[#This Row],[1]:[12]])</f>
        <v>5086.1085600000006</v>
      </c>
    </row>
    <row r="389" spans="2:68" ht="38.25">
      <c r="B389" t="s">
        <v>384</v>
      </c>
      <c r="C389" t="str">
        <f>IFERROR(VLOOKUP(Таб[[#This Row],[Зелений Тариф ЕЦ]],Sheet6!$H$9:$I$29,2,FALSE),"")</f>
        <v>Земля</v>
      </c>
      <c r="D389" t="s">
        <v>3368</v>
      </c>
      <c r="E389" t="s">
        <v>3368</v>
      </c>
      <c r="F389" t="s">
        <v>3369</v>
      </c>
      <c r="G389" s="139" t="s">
        <v>1022</v>
      </c>
      <c r="H389" t="s">
        <v>101</v>
      </c>
      <c r="J389" s="7">
        <v>27.356000000000002</v>
      </c>
      <c r="K389" s="8"/>
      <c r="L389" s="8">
        <v>41382</v>
      </c>
      <c r="M389">
        <v>4</v>
      </c>
      <c r="N389" s="49" t="s">
        <v>57</v>
      </c>
      <c r="O389">
        <v>2013</v>
      </c>
      <c r="P389">
        <v>0.25850000000000001</v>
      </c>
      <c r="Q389" s="10"/>
      <c r="R389" s="11">
        <f>ROUND(Таб[[#This Row],[Зелений Тариф ЕЦ]]+Таб[[#This Row],[Зелений Тариф ЕЦ]]*Таб[[#This Row],[% надбавки]],4)</f>
        <v>0.25850000000000001</v>
      </c>
      <c r="S389" s="12"/>
      <c r="T389">
        <v>1.4790000000000001</v>
      </c>
      <c r="U389">
        <v>2.141</v>
      </c>
      <c r="V389">
        <v>3.2160000000000002</v>
      </c>
      <c r="W389">
        <v>3.8309999999999995</v>
      </c>
      <c r="X389">
        <v>4.5250000000000004</v>
      </c>
      <c r="Y389">
        <v>4.593</v>
      </c>
      <c r="Z389">
        <v>4.57</v>
      </c>
      <c r="AA389">
        <v>4.5859999999999985</v>
      </c>
      <c r="AB389">
        <v>3.7930000000000028</v>
      </c>
      <c r="AC389">
        <v>2.6610000000000014</v>
      </c>
      <c r="AD389">
        <v>1.2319999999999993</v>
      </c>
      <c r="AE389">
        <v>1.2479999999999976</v>
      </c>
      <c r="AF389">
        <v>1.0629999999999999</v>
      </c>
      <c r="AG389">
        <v>1.2569999999999999</v>
      </c>
      <c r="AH389">
        <v>2.54</v>
      </c>
      <c r="AI389">
        <v>4.5819999999999999</v>
      </c>
      <c r="AJ389">
        <v>4.6559999999999997</v>
      </c>
      <c r="AK389">
        <v>4.58</v>
      </c>
      <c r="AL389">
        <v>4.05</v>
      </c>
      <c r="AM389">
        <v>4.7359999999999998</v>
      </c>
      <c r="AN389">
        <v>3.431</v>
      </c>
      <c r="AO389">
        <v>3.2959999999999998</v>
      </c>
      <c r="AP389">
        <v>0.80900000000000005</v>
      </c>
      <c r="AQ389">
        <v>0.98499999999999999</v>
      </c>
      <c r="AR389">
        <v>1.171</v>
      </c>
      <c r="AS389">
        <v>1.831</v>
      </c>
      <c r="AT389">
        <v>4.03</v>
      </c>
      <c r="AU389">
        <v>3.6080000000000001</v>
      </c>
      <c r="AV389">
        <v>4.1890000000000001</v>
      </c>
      <c r="AW389">
        <v>4.4909999999999997</v>
      </c>
      <c r="AX389">
        <v>4.3319999999999999</v>
      </c>
      <c r="AY389">
        <v>4.5960000000000001</v>
      </c>
      <c r="BD3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880.88713569281617</v>
      </c>
      <c r="BE3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1518.9490785553548</v>
      </c>
      <c r="BF3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2562.5807583791011</v>
      </c>
      <c r="BG3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3642.3778924541666</v>
      </c>
      <c r="BH3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4484.5163271634283</v>
      </c>
      <c r="BI3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4649.8441180265963</v>
      </c>
      <c r="BJ3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4724.7582732614683</v>
      </c>
      <c r="BK3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4084.1130836666935</v>
      </c>
      <c r="BL3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2867.4038727830675</v>
      </c>
      <c r="BM3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1841.8549200849793</v>
      </c>
      <c r="BN3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852.47142163820922</v>
      </c>
      <c r="BO3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720.72583829412235</v>
      </c>
      <c r="BP389">
        <f>SUM(Таб[[#This Row],[1]:[12]])</f>
        <v>32830.482720000007</v>
      </c>
    </row>
    <row r="390" spans="2:68" ht="38.25">
      <c r="B390" t="s">
        <v>384</v>
      </c>
      <c r="C390" t="str">
        <f>IFERROR(VLOOKUP(Таб[[#This Row],[Зелений Тариф ЕЦ]],Sheet6!$H$9:$I$29,2,FALSE),"")</f>
        <v>Земля</v>
      </c>
      <c r="D390" t="s">
        <v>3368</v>
      </c>
      <c r="E390" t="s">
        <v>3368</v>
      </c>
      <c r="F390" t="s">
        <v>3369</v>
      </c>
      <c r="G390" s="139" t="s">
        <v>1025</v>
      </c>
      <c r="H390" t="s">
        <v>101</v>
      </c>
      <c r="J390" s="7">
        <v>27.488</v>
      </c>
      <c r="K390" s="8"/>
      <c r="L390" s="8">
        <v>41382</v>
      </c>
      <c r="M390">
        <v>4</v>
      </c>
      <c r="N390" s="49" t="s">
        <v>57</v>
      </c>
      <c r="O390">
        <v>2013</v>
      </c>
      <c r="P390">
        <v>0.25850000000000001</v>
      </c>
      <c r="Q390" s="10"/>
      <c r="R390" s="11">
        <f>ROUND(Таб[[#This Row],[Зелений Тариф ЕЦ]]+Таб[[#This Row],[Зелений Тариф ЕЦ]]*Таб[[#This Row],[% надбавки]],4)</f>
        <v>0.25850000000000001</v>
      </c>
      <c r="S390" s="12"/>
      <c r="T390">
        <v>1.4890000000000001</v>
      </c>
      <c r="U390">
        <v>2.1239999999999997</v>
      </c>
      <c r="V390">
        <v>3.1990000000000003</v>
      </c>
      <c r="W390">
        <v>3.7969999999999997</v>
      </c>
      <c r="X390">
        <v>4.4920000000000009</v>
      </c>
      <c r="Y390">
        <v>4.5579999999999981</v>
      </c>
      <c r="Z390">
        <v>4.5579999999999998</v>
      </c>
      <c r="AA390">
        <v>4.5500000000000007</v>
      </c>
      <c r="AB390">
        <v>3.762000000000004</v>
      </c>
      <c r="AC390">
        <v>2.6359999999999957</v>
      </c>
      <c r="AD390">
        <v>1.2199999999999989</v>
      </c>
      <c r="AE390">
        <v>1.2680000000000007</v>
      </c>
      <c r="AF390">
        <v>1.0629999999999999</v>
      </c>
      <c r="AG390">
        <v>1.2210000000000001</v>
      </c>
      <c r="AH390">
        <v>2.504</v>
      </c>
      <c r="AI390">
        <v>4.5250000000000004</v>
      </c>
      <c r="AJ390">
        <v>4.6040000000000001</v>
      </c>
      <c r="AK390">
        <v>4.5309999999999997</v>
      </c>
      <c r="AL390">
        <v>4.0270000000000001</v>
      </c>
      <c r="AM390">
        <v>4.6859999999999999</v>
      </c>
      <c r="AN390">
        <v>3.3980000000000001</v>
      </c>
      <c r="AO390">
        <v>3.2410000000000001</v>
      </c>
      <c r="AP390">
        <v>0.79900000000000004</v>
      </c>
      <c r="AQ390">
        <v>0.99199999999999999</v>
      </c>
      <c r="AR390">
        <v>1.1639999999999999</v>
      </c>
      <c r="AS390">
        <v>1.8140000000000001</v>
      </c>
      <c r="AT390">
        <v>3.9940000000000002</v>
      </c>
      <c r="AU390">
        <v>3.5680000000000001</v>
      </c>
      <c r="AV390">
        <v>4.1289999999999996</v>
      </c>
      <c r="AW390">
        <v>4.4779999999999998</v>
      </c>
      <c r="AX390">
        <v>4.3109999999999999</v>
      </c>
      <c r="AY390">
        <v>4.5289999999999999</v>
      </c>
      <c r="BD3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885.13765118892138</v>
      </c>
      <c r="BE3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1526.2784131937997</v>
      </c>
      <c r="BF3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2574.9458943677705</v>
      </c>
      <c r="BG3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3659.9533377606422</v>
      </c>
      <c r="BH3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4506.1553151435992</v>
      </c>
      <c r="BI3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4672.2808567157135</v>
      </c>
      <c r="BJ3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4747.5564927405776</v>
      </c>
      <c r="BK3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4103.8200191486358</v>
      </c>
      <c r="BL3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2881.239861641357</v>
      </c>
      <c r="BM3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1850.742361576835</v>
      </c>
      <c r="BN3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856.58482373121433</v>
      </c>
      <c r="BO3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724.20353279093558</v>
      </c>
      <c r="BP390">
        <f>SUM(Таб[[#This Row],[1]:[12]])</f>
        <v>32988.898559999994</v>
      </c>
    </row>
    <row r="391" spans="2:68" ht="38.25">
      <c r="B391" t="s">
        <v>384</v>
      </c>
      <c r="C391" t="str">
        <f>IFERROR(VLOOKUP(Таб[[#This Row],[Зелений Тариф ЕЦ]],Sheet6!$H$9:$I$29,2,FALSE),"")</f>
        <v>Земля</v>
      </c>
      <c r="D391" t="s">
        <v>3359</v>
      </c>
      <c r="E391" t="s">
        <v>3385</v>
      </c>
      <c r="F391" t="s">
        <v>3287</v>
      </c>
      <c r="G391" s="1" t="s">
        <v>1026</v>
      </c>
      <c r="H391" t="s">
        <v>98</v>
      </c>
      <c r="J391" s="7">
        <v>3.4359999999999999</v>
      </c>
      <c r="K391" s="8"/>
      <c r="L391" s="8">
        <v>43455</v>
      </c>
      <c r="M391">
        <v>12</v>
      </c>
      <c r="N391" s="49" t="s">
        <v>71</v>
      </c>
      <c r="O391">
        <v>2018</v>
      </c>
      <c r="P391">
        <v>0.15029999999999999</v>
      </c>
      <c r="Q391" s="10"/>
      <c r="R391" s="11">
        <f>ROUND(Таб[[#This Row],[Зелений Тариф ЕЦ]]+Таб[[#This Row],[Зелений Тариф ЕЦ]]*Таб[[#This Row],[% надбавки]],4)</f>
        <v>0.15029999999999999</v>
      </c>
      <c r="S391" s="12"/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3.3000000000000002E-2</v>
      </c>
      <c r="AS391">
        <v>0.22600000000000001</v>
      </c>
      <c r="AT391">
        <v>0.33800000000000002</v>
      </c>
      <c r="AU391">
        <v>0.45600000000000002</v>
      </c>
      <c r="AV391">
        <v>0.38700000000000001</v>
      </c>
      <c r="AW391">
        <v>0.58399999999999996</v>
      </c>
      <c r="AX391">
        <v>0.53400000000000003</v>
      </c>
      <c r="AY391">
        <v>0.54100000000000004</v>
      </c>
      <c r="BD3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110.64220639861517</v>
      </c>
      <c r="BE3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190.78480164922496</v>
      </c>
      <c r="BF3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321.86823679597131</v>
      </c>
      <c r="BG3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457.49416722008027</v>
      </c>
      <c r="BH3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563.2694143929499</v>
      </c>
      <c r="BI3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584.03510708946419</v>
      </c>
      <c r="BJ3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593.4445615925722</v>
      </c>
      <c r="BK3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512.97750239357947</v>
      </c>
      <c r="BL3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360.15498270516963</v>
      </c>
      <c r="BM3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231.34279519710438</v>
      </c>
      <c r="BN3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107.07310296640179</v>
      </c>
      <c r="BO3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90.525441598866948</v>
      </c>
      <c r="BP391">
        <f>SUM(Таб[[#This Row],[1]:[12]])</f>
        <v>4123.6123199999993</v>
      </c>
    </row>
    <row r="392" spans="2:68" ht="51">
      <c r="B392" t="s">
        <v>384</v>
      </c>
      <c r="C392" t="str">
        <f>IFERROR(VLOOKUP(Таб[[#This Row],[Зелений Тариф ЕЦ]],Sheet6!$H$9:$I$29,2,FALSE),"")</f>
        <v>Земля</v>
      </c>
      <c r="D392" t="s">
        <v>3359</v>
      </c>
      <c r="E392" t="s">
        <v>3385</v>
      </c>
      <c r="F392" t="s">
        <v>3287</v>
      </c>
      <c r="G392" s="1" t="s">
        <v>1028</v>
      </c>
      <c r="H392" t="s">
        <v>98</v>
      </c>
      <c r="J392" s="7">
        <v>8.4550000000000001</v>
      </c>
      <c r="K392" s="8"/>
      <c r="L392" s="8">
        <v>43637</v>
      </c>
      <c r="M392">
        <v>6</v>
      </c>
      <c r="N392" s="49" t="s">
        <v>57</v>
      </c>
      <c r="O392">
        <v>2019</v>
      </c>
      <c r="P392">
        <v>0.15029999999999999</v>
      </c>
      <c r="Q392" s="10"/>
      <c r="R392" s="11">
        <f>ROUND(Таб[[#This Row],[Зелений Тариф ЕЦ]]+Таб[[#This Row],[Зелений Тариф ЕЦ]]*Таб[[#This Row],[% надбавки]],4)</f>
        <v>0.15029999999999999</v>
      </c>
      <c r="S392" s="12"/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0.876</v>
      </c>
      <c r="AY392">
        <v>1.2749999999999999</v>
      </c>
      <c r="BD3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272.25839787552127</v>
      </c>
      <c r="BE3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469.46609369737985</v>
      </c>
      <c r="BF3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792.02443018333452</v>
      </c>
      <c r="BG3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1125.7605308049415</v>
      </c>
      <c r="BH3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1386.0427528208356</v>
      </c>
      <c r="BI3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1437.1411031552443</v>
      </c>
      <c r="BJ3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1460.2950431505233</v>
      </c>
      <c r="BK3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1262.2889356046896</v>
      </c>
      <c r="BL3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886.23701361240069</v>
      </c>
      <c r="BM3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569.26755919427171</v>
      </c>
      <c r="BN3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263.47586891179481</v>
      </c>
      <c r="BO3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222.75687098906286</v>
      </c>
      <c r="BP392">
        <f>SUM(Таб[[#This Row],[1]:[12]])</f>
        <v>10147.014599999999</v>
      </c>
    </row>
    <row r="393" spans="2:68" ht="38.25">
      <c r="B393" t="s">
        <v>384</v>
      </c>
      <c r="C393" t="str">
        <f>IFERROR(VLOOKUP(Таб[[#This Row],[Зелений Тариф ЕЦ]],Sheet6!$H$9:$I$29,2,FALSE),"")</f>
        <v>Земля</v>
      </c>
      <c r="G393" s="1" t="s">
        <v>1032</v>
      </c>
      <c r="H393" t="s">
        <v>136</v>
      </c>
      <c r="J393" s="7">
        <v>0.629</v>
      </c>
      <c r="K393" s="8"/>
      <c r="L393" s="8">
        <v>42794</v>
      </c>
      <c r="M393">
        <v>2</v>
      </c>
      <c r="N393" s="49" t="s">
        <v>67</v>
      </c>
      <c r="O393">
        <v>2017</v>
      </c>
      <c r="P393">
        <v>0.15989999999999999</v>
      </c>
      <c r="Q393" s="10"/>
      <c r="R393" s="11">
        <f>ROUND(Таб[[#This Row],[Зелений Тариф ЕЦ]]+Таб[[#This Row],[Зелений Тариф ЕЦ]]*Таб[[#This Row],[% надбавки]],4)</f>
        <v>0.15989999999999999</v>
      </c>
      <c r="S393" s="12"/>
      <c r="T393">
        <v>0</v>
      </c>
      <c r="U393">
        <v>0</v>
      </c>
      <c r="V393">
        <v>0</v>
      </c>
      <c r="W393">
        <v>0</v>
      </c>
      <c r="X393">
        <v>0.26200000000000001</v>
      </c>
      <c r="Y393">
        <v>0.10299999999999998</v>
      </c>
      <c r="Z393">
        <v>0.10200000000000004</v>
      </c>
      <c r="AA393">
        <v>9.3000000000000027E-2</v>
      </c>
      <c r="AB393">
        <v>8.2999999999999963E-2</v>
      </c>
      <c r="AC393">
        <v>3.5000000000000031E-2</v>
      </c>
      <c r="AD393">
        <v>1.19999999999999E-2</v>
      </c>
      <c r="AE393">
        <v>9.000000000000008E-3</v>
      </c>
      <c r="AF393">
        <v>8.0000000000000002E-3</v>
      </c>
      <c r="AG393">
        <v>2.1000000000000001E-2</v>
      </c>
      <c r="AH393">
        <v>5.0999999999999997E-2</v>
      </c>
      <c r="AI393">
        <v>9.1999999999999998E-2</v>
      </c>
      <c r="AJ393">
        <v>0.107</v>
      </c>
      <c r="AK393">
        <v>0.10199999999999999</v>
      </c>
      <c r="AL393">
        <v>9.8000000000000004E-2</v>
      </c>
      <c r="AM393">
        <v>0.105</v>
      </c>
      <c r="AN393">
        <v>6.5000000000000002E-2</v>
      </c>
      <c r="AO393">
        <v>5.7000000000000002E-2</v>
      </c>
      <c r="AP393">
        <v>1.9E-2</v>
      </c>
      <c r="AQ393">
        <v>5.0000000000000001E-3</v>
      </c>
      <c r="AR393">
        <v>0.01</v>
      </c>
      <c r="AS393">
        <v>0.03</v>
      </c>
      <c r="AT393">
        <v>6.6000000000000003E-2</v>
      </c>
      <c r="AU393">
        <v>8.5999999999999993E-2</v>
      </c>
      <c r="AV393">
        <v>0.08</v>
      </c>
      <c r="AW393">
        <v>0.10100000000000001</v>
      </c>
      <c r="AX393">
        <v>9.4E-2</v>
      </c>
      <c r="AY393">
        <v>9.0999999999999998E-2</v>
      </c>
      <c r="BD3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20.25435035644032</v>
      </c>
      <c r="BE3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34.925390057439614</v>
      </c>
      <c r="BF3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58.921746491462748</v>
      </c>
      <c r="BG3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83.749659831615389</v>
      </c>
      <c r="BH3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103.1130563600598</v>
      </c>
      <c r="BI3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106.914459359509</v>
      </c>
      <c r="BJ3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108.63697009363443</v>
      </c>
      <c r="BK3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93.90653347076875</v>
      </c>
      <c r="BL3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65.93058327169723</v>
      </c>
      <c r="BM3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42.350005290738849</v>
      </c>
      <c r="BN3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19.600984215909989</v>
      </c>
      <c r="BO3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16.571741200723899</v>
      </c>
      <c r="BP393">
        <f>SUM(Таб[[#This Row],[1]:[12]])</f>
        <v>754.87548000000004</v>
      </c>
    </row>
    <row r="394" spans="2:68" ht="38.25">
      <c r="B394" t="s">
        <v>384</v>
      </c>
      <c r="C394" t="str">
        <f>IFERROR(VLOOKUP(Таб[[#This Row],[Зелений Тариф ЕЦ]],Sheet6!$H$9:$I$29,2,FALSE),"")</f>
        <v>Земля</v>
      </c>
      <c r="D394" t="s">
        <v>3362</v>
      </c>
      <c r="F394" t="s">
        <v>3287</v>
      </c>
      <c r="G394" s="1" t="s">
        <v>1035</v>
      </c>
      <c r="H394" t="s">
        <v>198</v>
      </c>
      <c r="J394" s="7">
        <v>7.7450000000000001</v>
      </c>
      <c r="K394" s="8"/>
      <c r="L394" s="8">
        <v>41501</v>
      </c>
      <c r="M394">
        <v>8</v>
      </c>
      <c r="N394" s="49" t="s">
        <v>60</v>
      </c>
      <c r="O394">
        <v>2013</v>
      </c>
      <c r="P394">
        <v>0.33929999999999999</v>
      </c>
      <c r="Q394" s="10"/>
      <c r="R394" s="11">
        <f>ROUND(Таб[[#This Row],[Зелений Тариф ЕЦ]]+Таб[[#This Row],[Зелений Тариф ЕЦ]]*Таб[[#This Row],[% надбавки]],4)</f>
        <v>0.33929999999999999</v>
      </c>
      <c r="S394" s="12"/>
      <c r="T394">
        <v>0.309</v>
      </c>
      <c r="U394">
        <v>0.434</v>
      </c>
      <c r="V394">
        <v>0.84599999999999997</v>
      </c>
      <c r="W394">
        <v>1.0489999999999999</v>
      </c>
      <c r="X394">
        <v>1.294</v>
      </c>
      <c r="Y394">
        <v>1.3119999999999998</v>
      </c>
      <c r="Z394">
        <v>1.2700000000000005</v>
      </c>
      <c r="AA394">
        <v>1.1479999999999997</v>
      </c>
      <c r="AB394">
        <v>0.9430000000000005</v>
      </c>
      <c r="AC394">
        <v>0.44500000000000028</v>
      </c>
      <c r="AD394">
        <v>0.21099999999999852</v>
      </c>
      <c r="AE394">
        <v>0.13100000000000023</v>
      </c>
      <c r="AF394">
        <v>0.24399999999999999</v>
      </c>
      <c r="AG394">
        <v>0.32</v>
      </c>
      <c r="AH394">
        <v>0.59099999999999997</v>
      </c>
      <c r="AI394">
        <v>1.1599999999999999</v>
      </c>
      <c r="AJ394">
        <v>1.2889999999999999</v>
      </c>
      <c r="AK394">
        <v>1.198</v>
      </c>
      <c r="AL394">
        <v>1.131</v>
      </c>
      <c r="AM394">
        <v>1.3129999999999999</v>
      </c>
      <c r="AN394">
        <v>0.8</v>
      </c>
      <c r="AO394">
        <v>0.751</v>
      </c>
      <c r="AP394">
        <v>0.22500000000000001</v>
      </c>
      <c r="AQ394">
        <v>7.4999999999999997E-2</v>
      </c>
      <c r="AR394">
        <v>0.13300000000000001</v>
      </c>
      <c r="AS394">
        <v>0.35299999999999998</v>
      </c>
      <c r="AT394">
        <v>0.752</v>
      </c>
      <c r="AU394">
        <v>0.97399999999999998</v>
      </c>
      <c r="AV394">
        <v>1.0629999999999999</v>
      </c>
      <c r="AW394">
        <v>1.262</v>
      </c>
      <c r="AX394">
        <v>1.198</v>
      </c>
      <c r="AY394">
        <v>1.204</v>
      </c>
      <c r="BD3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249.39577664647101</v>
      </c>
      <c r="BE3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430.04315738453067</v>
      </c>
      <c r="BF3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725.51498660791572</v>
      </c>
      <c r="BG3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1031.2259386261703</v>
      </c>
      <c r="BH3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1269.6512265638523</v>
      </c>
      <c r="BI3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1316.4586450546858</v>
      </c>
      <c r="BJ3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1337.6682565583444</v>
      </c>
      <c r="BK3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1156.2895099063658</v>
      </c>
      <c r="BL3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811.81616445038958</v>
      </c>
      <c r="BM3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521.46389662443937</v>
      </c>
      <c r="BN3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241.35075159335906</v>
      </c>
      <c r="BO3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204.05108998347629</v>
      </c>
      <c r="BP394">
        <f>SUM(Таб[[#This Row],[1]:[12]])</f>
        <v>9294.9294000000009</v>
      </c>
    </row>
    <row r="395" spans="2:68" ht="38.25">
      <c r="B395" t="s">
        <v>384</v>
      </c>
      <c r="C395" t="str">
        <f>IFERROR(VLOOKUP(Таб[[#This Row],[Зелений Тариф ЕЦ]],Sheet6!$H$9:$I$29,2,FALSE),"")</f>
        <v>Земля</v>
      </c>
      <c r="D395" t="s">
        <v>3362</v>
      </c>
      <c r="F395" t="s">
        <v>3287</v>
      </c>
      <c r="G395" s="1" t="s">
        <v>1035</v>
      </c>
      <c r="H395" t="s">
        <v>73</v>
      </c>
      <c r="J395" s="7">
        <v>11.013999999999999</v>
      </c>
      <c r="K395" s="8"/>
      <c r="L395" s="8">
        <v>42880</v>
      </c>
      <c r="M395">
        <v>5</v>
      </c>
      <c r="N395" s="49" t="s">
        <v>57</v>
      </c>
      <c r="O395">
        <v>2017</v>
      </c>
      <c r="P395">
        <v>0.15029999999999999</v>
      </c>
      <c r="Q395" s="10">
        <v>0.05</v>
      </c>
      <c r="R395" s="11">
        <f>ROUND(Таб[[#This Row],[Зелений Тариф ЕЦ]]+Таб[[#This Row],[Зелений Тариф ЕЦ]]*Таб[[#This Row],[% надбавки]],4)</f>
        <v>0.1578</v>
      </c>
      <c r="S395" s="12">
        <v>43035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1.7470000000000001</v>
      </c>
      <c r="Z395">
        <v>1.8680000000000001</v>
      </c>
      <c r="AA395">
        <v>1.6529999999999996</v>
      </c>
      <c r="AB395">
        <v>1.5070000000000006</v>
      </c>
      <c r="AC395">
        <v>0.60699999999999932</v>
      </c>
      <c r="AD395">
        <v>0.45700000000000074</v>
      </c>
      <c r="AE395">
        <v>0.36899999999999977</v>
      </c>
      <c r="AF395">
        <v>0.45</v>
      </c>
      <c r="AG395">
        <v>0.48399999999999999</v>
      </c>
      <c r="AH395">
        <v>0.92900000000000005</v>
      </c>
      <c r="AI395">
        <v>1.7949999999999999</v>
      </c>
      <c r="AJ395">
        <v>1.9119999999999999</v>
      </c>
      <c r="AK395">
        <v>1.738</v>
      </c>
      <c r="AL395">
        <v>1.653</v>
      </c>
      <c r="AM395">
        <v>1.9119999999999999</v>
      </c>
      <c r="AN395">
        <v>1.2290000000000001</v>
      </c>
      <c r="AO395">
        <v>1.333</v>
      </c>
      <c r="AP395">
        <v>0.48199999999999998</v>
      </c>
      <c r="AQ395">
        <v>0.183</v>
      </c>
      <c r="AR395">
        <v>0.32600000000000001</v>
      </c>
      <c r="AS395">
        <v>0.55600000000000005</v>
      </c>
      <c r="AT395">
        <v>1.4630000000000001</v>
      </c>
      <c r="AU395">
        <v>1.585</v>
      </c>
      <c r="AV395">
        <v>1.732</v>
      </c>
      <c r="AW395">
        <v>1.762</v>
      </c>
      <c r="AX395">
        <v>1.873</v>
      </c>
      <c r="AY395">
        <v>1.736</v>
      </c>
      <c r="BD3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354.66043692501381</v>
      </c>
      <c r="BE3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611.55524021087422</v>
      </c>
      <c r="BF3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1031.7394528727671</v>
      </c>
      <c r="BG3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1466.4845045873001</v>
      </c>
      <c r="BH3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1805.5440425273428</v>
      </c>
      <c r="BI3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1872.1078781965534</v>
      </c>
      <c r="BJ3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1902.2696162341647</v>
      </c>
      <c r="BK3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1644.3347530159729</v>
      </c>
      <c r="BL3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1154.4665248878748</v>
      </c>
      <c r="BM3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741.56273175230137</v>
      </c>
      <c r="BN3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343.21977766936817</v>
      </c>
      <c r="BO3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290.17672112046586</v>
      </c>
      <c r="BP395">
        <f>SUM(Таб[[#This Row],[1]:[12]])</f>
        <v>13218.12168</v>
      </c>
    </row>
    <row r="396" spans="2:68" ht="25.5">
      <c r="B396" t="s">
        <v>384</v>
      </c>
      <c r="C396" t="str">
        <f>IFERROR(VLOOKUP(Таб[[#This Row],[Зелений Тариф ЕЦ]],Sheet6!$H$9:$I$29,2,FALSE),"")</f>
        <v>Земля</v>
      </c>
      <c r="G396" s="1" t="s">
        <v>1040</v>
      </c>
      <c r="H396" t="s">
        <v>136</v>
      </c>
      <c r="J396" s="7">
        <v>9.9789999999999992</v>
      </c>
      <c r="K396" s="8"/>
      <c r="L396" s="8">
        <v>43434</v>
      </c>
      <c r="M396">
        <v>11</v>
      </c>
      <c r="N396" s="49" t="s">
        <v>71</v>
      </c>
      <c r="O396">
        <v>2018</v>
      </c>
      <c r="P396">
        <v>0.15029999999999999</v>
      </c>
      <c r="Q396" s="10"/>
      <c r="R396" s="11">
        <f>ROUND(Таб[[#This Row],[Зелений Тариф ЕЦ]]+Таб[[#This Row],[Зелений Тариф ЕЦ]]*Таб[[#This Row],[% надбавки]],4)</f>
        <v>0.15029999999999999</v>
      </c>
      <c r="S396" s="12"/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3.5999999999999997E-2</v>
      </c>
      <c r="AR396">
        <v>0.22500000000000001</v>
      </c>
      <c r="AS396">
        <v>0.48699999999999999</v>
      </c>
      <c r="AT396">
        <v>1.0449999999999999</v>
      </c>
      <c r="AU396">
        <v>1.389</v>
      </c>
      <c r="AV396">
        <v>1.4450000000000001</v>
      </c>
      <c r="AW396">
        <v>1.583</v>
      </c>
      <c r="AX396">
        <v>1.635</v>
      </c>
      <c r="AY396">
        <v>1.6060000000000001</v>
      </c>
      <c r="BD3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321.33253133055314</v>
      </c>
      <c r="BE3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554.0865936139744</v>
      </c>
      <c r="BF3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934.78554568888194</v>
      </c>
      <c r="BG3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1328.6770357069793</v>
      </c>
      <c r="BH3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1635.8747049555432</v>
      </c>
      <c r="BI3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1696.183449838697</v>
      </c>
      <c r="BJ3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1723.5108498638758</v>
      </c>
      <c r="BK3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1489.8144634416553</v>
      </c>
      <c r="BL3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1045.9797940671965</v>
      </c>
      <c r="BM3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671.87711096388375</v>
      </c>
      <c r="BN3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310.96696580376113</v>
      </c>
      <c r="BO3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262.90843472499807</v>
      </c>
      <c r="BP396">
        <f>SUM(Таб[[#This Row],[1]:[12]])</f>
        <v>11975.997479999998</v>
      </c>
    </row>
    <row r="397" spans="2:68" ht="38.25">
      <c r="B397" t="s">
        <v>384</v>
      </c>
      <c r="C397" t="str">
        <f>IFERROR(VLOOKUP(Таб[[#This Row],[Зелений Тариф ЕЦ]],Sheet6!$H$9:$I$29,2,FALSE),"")</f>
        <v>Земля</v>
      </c>
      <c r="D397" t="s">
        <v>3361</v>
      </c>
      <c r="F397" t="s">
        <v>3287</v>
      </c>
      <c r="G397" s="1" t="s">
        <v>1043</v>
      </c>
      <c r="H397" t="s">
        <v>101</v>
      </c>
      <c r="J397" s="7">
        <v>3.2040000000000002</v>
      </c>
      <c r="K397" s="8"/>
      <c r="L397" s="8">
        <v>42759</v>
      </c>
      <c r="M397">
        <v>1</v>
      </c>
      <c r="N397" s="49" t="s">
        <v>67</v>
      </c>
      <c r="O397">
        <v>2017</v>
      </c>
      <c r="P397">
        <v>0.15989999999999999</v>
      </c>
      <c r="Q397" s="10"/>
      <c r="R397" s="11">
        <f>ROUND(Таб[[#This Row],[Зелений Тариф ЕЦ]]+Таб[[#This Row],[Зелений Тариф ЕЦ]]*Таб[[#This Row],[% надбавки]],4)</f>
        <v>0.15989999999999999</v>
      </c>
      <c r="S397" s="12"/>
      <c r="T397">
        <v>0</v>
      </c>
      <c r="U397">
        <v>0</v>
      </c>
      <c r="V397">
        <v>0</v>
      </c>
      <c r="W397">
        <v>0</v>
      </c>
      <c r="X397">
        <v>0.39500000000000002</v>
      </c>
      <c r="Y397">
        <v>0.48199999999999998</v>
      </c>
      <c r="Z397">
        <v>0.49500000000000011</v>
      </c>
      <c r="AA397">
        <v>0.5129999999999999</v>
      </c>
      <c r="AB397">
        <v>0.45099999999999985</v>
      </c>
      <c r="AC397">
        <v>0.31800000000000006</v>
      </c>
      <c r="AD397">
        <v>0.1379999999999999</v>
      </c>
      <c r="AE397">
        <v>0.14300000000000024</v>
      </c>
      <c r="AF397">
        <v>0.187</v>
      </c>
      <c r="AG397">
        <v>0.155</v>
      </c>
      <c r="AH397">
        <v>0.28799999999999998</v>
      </c>
      <c r="AI397">
        <v>0.53100000000000003</v>
      </c>
      <c r="AJ397">
        <v>0.52100000000000002</v>
      </c>
      <c r="AK397">
        <v>0.51700000000000002</v>
      </c>
      <c r="AL397">
        <v>0.42399999999999999</v>
      </c>
      <c r="AM397">
        <v>0.52500000000000002</v>
      </c>
      <c r="AN397">
        <v>0.39600000000000002</v>
      </c>
      <c r="AO397">
        <v>0.38800000000000001</v>
      </c>
      <c r="AP397">
        <v>0.10299999999999999</v>
      </c>
      <c r="AQ397">
        <v>0.114</v>
      </c>
      <c r="AR397">
        <v>0.14099999999999999</v>
      </c>
      <c r="AS397">
        <v>0.17499999999999999</v>
      </c>
      <c r="AT397">
        <v>0.46700000000000003</v>
      </c>
      <c r="AU397">
        <v>0.41899999999999998</v>
      </c>
      <c r="AV397">
        <v>0.49299999999999999</v>
      </c>
      <c r="AW397">
        <v>0.50800000000000001</v>
      </c>
      <c r="AX397">
        <v>0.498</v>
      </c>
      <c r="AY397">
        <v>0.53800000000000003</v>
      </c>
      <c r="BD3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103.17160340546071</v>
      </c>
      <c r="BE3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177.90294076953339</v>
      </c>
      <c r="BF3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300.13557354315839</v>
      </c>
      <c r="BG3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426.6039906208199</v>
      </c>
      <c r="BH3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525.23725370052716</v>
      </c>
      <c r="BI3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544.60083909040839</v>
      </c>
      <c r="BJ3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553.37496372019837</v>
      </c>
      <c r="BK3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478.34107033440876</v>
      </c>
      <c r="BL3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335.83718410575193</v>
      </c>
      <c r="BM3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215.72244348414509</v>
      </c>
      <c r="BN3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99.843487166574903</v>
      </c>
      <c r="BO3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84.413130059013298</v>
      </c>
      <c r="BP397">
        <f>SUM(Таб[[#This Row],[1]:[12]])</f>
        <v>3845.1844800000008</v>
      </c>
    </row>
    <row r="398" spans="2:68" ht="38.25">
      <c r="B398" t="s">
        <v>384</v>
      </c>
      <c r="C398" t="str">
        <f>IFERROR(VLOOKUP(Таб[[#This Row],[Зелений Тариф ЕЦ]],Sheet6!$H$9:$I$29,2,FALSE),"")</f>
        <v>Земля</v>
      </c>
      <c r="D398" t="s">
        <v>3361</v>
      </c>
      <c r="F398" t="s">
        <v>3287</v>
      </c>
      <c r="G398" s="1" t="s">
        <v>1043</v>
      </c>
      <c r="H398" t="s">
        <v>73</v>
      </c>
      <c r="J398" s="7">
        <v>12.706</v>
      </c>
      <c r="K398" s="8"/>
      <c r="L398" s="8">
        <v>43277</v>
      </c>
      <c r="M398">
        <v>6</v>
      </c>
      <c r="N398" s="49" t="s">
        <v>57</v>
      </c>
      <c r="O398">
        <v>2018</v>
      </c>
      <c r="P398">
        <v>0.15029999999999999</v>
      </c>
      <c r="Q398" s="10"/>
      <c r="R398" s="11">
        <f>ROUND(Таб[[#This Row],[Зелений Тариф ЕЦ]]+Таб[[#This Row],[Зелений Тариф ЕЦ]]*Таб[[#This Row],[% надбавки]],4)</f>
        <v>0.15029999999999999</v>
      </c>
      <c r="S398" s="12"/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1.5349999999999999</v>
      </c>
      <c r="AN398">
        <v>1.093</v>
      </c>
      <c r="AO398">
        <v>1.405</v>
      </c>
      <c r="AP398">
        <v>0.48299999999999998</v>
      </c>
      <c r="AQ398">
        <v>0.22500000000000001</v>
      </c>
      <c r="AR398">
        <v>0.34499999999999997</v>
      </c>
      <c r="AS398">
        <v>0.66300000000000003</v>
      </c>
      <c r="AT398">
        <v>3.145</v>
      </c>
      <c r="AU398">
        <v>3.403</v>
      </c>
      <c r="AV398">
        <v>3.68</v>
      </c>
      <c r="AW398">
        <v>3.9089999999999998</v>
      </c>
      <c r="AX398">
        <v>3.899</v>
      </c>
      <c r="AY398">
        <v>3.9750000000000001</v>
      </c>
      <c r="BD3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409.14431737508858</v>
      </c>
      <c r="BE3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705.50398421276259</v>
      </c>
      <c r="BF3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1190.2380141820756</v>
      </c>
      <c r="BG3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1691.7697580612164</v>
      </c>
      <c r="BH3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2082.9165248186328</v>
      </c>
      <c r="BI3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2159.7060741207015</v>
      </c>
      <c r="BJ3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2194.5013386482024</v>
      </c>
      <c r="BK3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1896.9418351026834</v>
      </c>
      <c r="BL3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1331.8187457077663</v>
      </c>
      <c r="BM3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855.48357269336691</v>
      </c>
      <c r="BN3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395.94611358879541</v>
      </c>
      <c r="BO3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334.75444148870878</v>
      </c>
      <c r="BP398">
        <f>SUM(Таб[[#This Row],[1]:[12]])</f>
        <v>15248.72472</v>
      </c>
    </row>
    <row r="399" spans="2:68" ht="38.25">
      <c r="B399" t="s">
        <v>384</v>
      </c>
      <c r="C399" t="str">
        <f>IFERROR(VLOOKUP(Таб[[#This Row],[Зелений Тариф ЕЦ]],Sheet6!$H$9:$I$29,2,FALSE),"")</f>
        <v>Земля</v>
      </c>
      <c r="D399" t="s">
        <v>3361</v>
      </c>
      <c r="F399" t="s">
        <v>3287</v>
      </c>
      <c r="G399" s="1" t="s">
        <v>1043</v>
      </c>
      <c r="H399" t="s">
        <v>101</v>
      </c>
      <c r="J399" s="7">
        <v>11.83</v>
      </c>
      <c r="K399" s="8"/>
      <c r="L399" s="8">
        <v>43476</v>
      </c>
      <c r="M399">
        <v>1</v>
      </c>
      <c r="N399" s="49" t="s">
        <v>67</v>
      </c>
      <c r="O399">
        <v>2019</v>
      </c>
      <c r="P399">
        <v>0.15029999999999999</v>
      </c>
      <c r="Q399" s="10">
        <v>0.05</v>
      </c>
      <c r="R399" s="11">
        <f>ROUND(Таб[[#This Row],[Зелений Тариф ЕЦ]]+Таб[[#This Row],[Зелений Тариф ЕЦ]]*Таб[[#This Row],[% надбавки]],4)</f>
        <v>0.1578</v>
      </c>
      <c r="S399" s="12">
        <v>43476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BD3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380.93635090093642</v>
      </c>
      <c r="BE3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656.86385433944452</v>
      </c>
      <c r="BF3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1108.1784753481784</v>
      </c>
      <c r="BG3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1575.1327119364232</v>
      </c>
      <c r="BH3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1939.3123318593123</v>
      </c>
      <c r="BI3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2010.8077173656466</v>
      </c>
      <c r="BJ3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2043.2040639232041</v>
      </c>
      <c r="BK3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1766.1594450861594</v>
      </c>
      <c r="BL3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1239.998092375482</v>
      </c>
      <c r="BM3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796.50327915650314</v>
      </c>
      <c r="BN3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368.64808151703528</v>
      </c>
      <c r="BO3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311.67519619167524</v>
      </c>
      <c r="BP399">
        <f>SUM(Таб[[#This Row],[1]:[12]])</f>
        <v>14197.419600000001</v>
      </c>
    </row>
    <row r="400" spans="2:68" ht="38.25">
      <c r="B400" t="s">
        <v>384</v>
      </c>
      <c r="C400" t="str">
        <f>IFERROR(VLOOKUP(Таб[[#This Row],[Зелений Тариф ЕЦ]],Sheet6!$H$9:$I$29,2,FALSE),"")</f>
        <v>Земля</v>
      </c>
      <c r="D400" t="s">
        <v>3361</v>
      </c>
      <c r="F400" t="s">
        <v>3287</v>
      </c>
      <c r="G400" s="1" t="s">
        <v>1051</v>
      </c>
      <c r="H400" t="s">
        <v>198</v>
      </c>
      <c r="I400" t="s">
        <v>1052</v>
      </c>
      <c r="J400" s="7">
        <v>9.5519999999999996</v>
      </c>
      <c r="K400" s="8"/>
      <c r="L400" s="8">
        <v>42726</v>
      </c>
      <c r="M400">
        <v>12</v>
      </c>
      <c r="N400" s="49" t="s">
        <v>71</v>
      </c>
      <c r="O400">
        <v>2016</v>
      </c>
      <c r="P400">
        <v>0.15989999999999999</v>
      </c>
      <c r="Q400" s="10">
        <v>0.05</v>
      </c>
      <c r="R400" s="11">
        <f>ROUND(Таб[[#This Row],[Зелений Тариф ЕЦ]]+Таб[[#This Row],[Зелений Тариф ЕЦ]]*Таб[[#This Row],[% надбавки]],4)</f>
        <v>0.16789999999999999</v>
      </c>
      <c r="S400" s="12">
        <v>43020</v>
      </c>
      <c r="T400">
        <v>0.22600000000000001</v>
      </c>
      <c r="U400">
        <v>0.29000000000000004</v>
      </c>
      <c r="V400">
        <v>1.214</v>
      </c>
      <c r="W400">
        <v>1.3900000000000001</v>
      </c>
      <c r="X400">
        <v>1.5739999999999998</v>
      </c>
      <c r="Y400">
        <v>1.6420000000000003</v>
      </c>
      <c r="Z400">
        <v>1.5709999999999997</v>
      </c>
      <c r="AA400">
        <v>1.5120000000000005</v>
      </c>
      <c r="AB400">
        <v>1.0749999999999993</v>
      </c>
      <c r="AC400">
        <v>0.59100000000000108</v>
      </c>
      <c r="AD400">
        <v>0.2419999999999991</v>
      </c>
      <c r="AE400">
        <v>0.16699999999999982</v>
      </c>
      <c r="AF400">
        <v>0.35099999999999998</v>
      </c>
      <c r="AG400">
        <v>0.44900000000000001</v>
      </c>
      <c r="AH400">
        <v>0.86299999999999999</v>
      </c>
      <c r="AI400">
        <v>1.5429999999999999</v>
      </c>
      <c r="AJ400">
        <v>1.6419999999999999</v>
      </c>
      <c r="AK400">
        <v>1.427</v>
      </c>
      <c r="AL400">
        <v>1.42</v>
      </c>
      <c r="AM400">
        <v>1.659</v>
      </c>
      <c r="AN400">
        <v>1.081</v>
      </c>
      <c r="AO400">
        <v>1.0069999999999999</v>
      </c>
      <c r="AP400">
        <v>0.255</v>
      </c>
      <c r="AQ400">
        <v>0.152</v>
      </c>
      <c r="AR400">
        <v>0.13300000000000001</v>
      </c>
      <c r="AS400">
        <v>0.41199999999999998</v>
      </c>
      <c r="AT400">
        <v>0.92900000000000005</v>
      </c>
      <c r="AU400">
        <v>1.3180000000000001</v>
      </c>
      <c r="AV400">
        <v>1.321</v>
      </c>
      <c r="AW400">
        <v>1.655</v>
      </c>
      <c r="AX400">
        <v>1.512</v>
      </c>
      <c r="AY400">
        <v>1.542</v>
      </c>
      <c r="BD4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307.58275771815255</v>
      </c>
      <c r="BE4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530.37730656385236</v>
      </c>
      <c r="BF4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894.78620427098917</v>
      </c>
      <c r="BG4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1271.8231330867889</v>
      </c>
      <c r="BH4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1565.875857474231</v>
      </c>
      <c r="BI4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1623.6039996852621</v>
      </c>
      <c r="BJ4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1649.7620641246363</v>
      </c>
      <c r="BK4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1426.0655130568889</v>
      </c>
      <c r="BL4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1001.2224664725786</v>
      </c>
      <c r="BM4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643.1275843197734</v>
      </c>
      <c r="BN4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297.66073327563151</v>
      </c>
      <c r="BO4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251.65861995121568</v>
      </c>
      <c r="BP400">
        <f>SUM(Таб[[#This Row],[1]:[12]])</f>
        <v>11463.54624</v>
      </c>
    </row>
    <row r="401" spans="2:68" ht="51">
      <c r="B401" t="s">
        <v>384</v>
      </c>
      <c r="C401" t="str">
        <f>IFERROR(VLOOKUP(Таб[[#This Row],[Зелений Тариф ЕЦ]],Sheet6!$H$9:$I$29,2,FALSE),"")</f>
        <v>Земля</v>
      </c>
      <c r="D401" t="s">
        <v>3361</v>
      </c>
      <c r="F401" t="s">
        <v>3287</v>
      </c>
      <c r="G401" s="1" t="s">
        <v>1056</v>
      </c>
      <c r="H401" t="s">
        <v>198</v>
      </c>
      <c r="J401" s="7">
        <v>4.9210000000000003</v>
      </c>
      <c r="K401" s="8"/>
      <c r="L401" s="8">
        <v>41501</v>
      </c>
      <c r="M401">
        <v>8</v>
      </c>
      <c r="N401" s="49" t="s">
        <v>60</v>
      </c>
      <c r="O401">
        <v>2013</v>
      </c>
      <c r="P401">
        <v>0.33929999999999999</v>
      </c>
      <c r="Q401" s="10"/>
      <c r="R401" s="11">
        <f>ROUND(Таб[[#This Row],[Зелений Тариф ЕЦ]]+Таб[[#This Row],[Зелений Тариф ЕЦ]]*Таб[[#This Row],[% надбавки]],4)</f>
        <v>0.33929999999999999</v>
      </c>
      <c r="S401" s="12"/>
      <c r="T401">
        <v>0.192</v>
      </c>
      <c r="U401">
        <v>0.28599999999999998</v>
      </c>
      <c r="V401">
        <v>0.53400000000000003</v>
      </c>
      <c r="W401">
        <v>0.70300000000000007</v>
      </c>
      <c r="X401">
        <v>0.8</v>
      </c>
      <c r="Y401">
        <v>0.81400000000000006</v>
      </c>
      <c r="Z401">
        <v>0.78600000000000003</v>
      </c>
      <c r="AA401">
        <v>0.77999999999999936</v>
      </c>
      <c r="AB401">
        <v>0.58200000000000074</v>
      </c>
      <c r="AC401">
        <v>0.30499999999999972</v>
      </c>
      <c r="AD401">
        <v>0.13300000000000001</v>
      </c>
      <c r="AE401">
        <v>8.3000000000000185E-2</v>
      </c>
      <c r="AF401">
        <v>0.155</v>
      </c>
      <c r="AG401">
        <v>0.191</v>
      </c>
      <c r="AH401">
        <v>0.42899999999999999</v>
      </c>
      <c r="AI401">
        <v>0.79500000000000004</v>
      </c>
      <c r="AJ401">
        <v>0.85599999999999998</v>
      </c>
      <c r="AK401">
        <v>0.72499999999999998</v>
      </c>
      <c r="AL401">
        <v>0.70799999999999996</v>
      </c>
      <c r="AM401">
        <v>0.84399999999999997</v>
      </c>
      <c r="AN401">
        <v>0.56899999999999995</v>
      </c>
      <c r="AO401">
        <v>0.51600000000000001</v>
      </c>
      <c r="AP401">
        <v>0.14000000000000001</v>
      </c>
      <c r="AQ401">
        <v>7.0000000000000007E-2</v>
      </c>
      <c r="AR401">
        <v>7.2999999999999995E-2</v>
      </c>
      <c r="AS401">
        <v>0.2</v>
      </c>
      <c r="AT401">
        <v>0.48299999999999998</v>
      </c>
      <c r="AU401">
        <v>0.66600000000000004</v>
      </c>
      <c r="AV401">
        <v>0.65300000000000002</v>
      </c>
      <c r="AW401">
        <v>0.83599999999999997</v>
      </c>
      <c r="AX401">
        <v>0.78100000000000003</v>
      </c>
      <c r="AY401">
        <v>0.79700000000000004</v>
      </c>
      <c r="BD4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158.4605057297978</v>
      </c>
      <c r="BE4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273.23981633173344</v>
      </c>
      <c r="BF4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460.97601666850267</v>
      </c>
      <c r="BG4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655.21792691793223</v>
      </c>
      <c r="BH4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806.70802916987964</v>
      </c>
      <c r="BI4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836.44841734204113</v>
      </c>
      <c r="BJ4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849.92453073255183</v>
      </c>
      <c r="BK4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734.68052656542625</v>
      </c>
      <c r="BL4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515.80985736092543</v>
      </c>
      <c r="BM4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331.3265119804862</v>
      </c>
      <c r="BN4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153.34887651270756</v>
      </c>
      <c r="BO4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129.64950468801638</v>
      </c>
      <c r="BP401">
        <f>SUM(Таб[[#This Row],[1]:[12]])</f>
        <v>5905.7905200000005</v>
      </c>
    </row>
    <row r="402" spans="2:68" ht="51">
      <c r="B402" t="s">
        <v>384</v>
      </c>
      <c r="C402" t="str">
        <f>IFERROR(VLOOKUP(Таб[[#This Row],[Зелений Тариф ЕЦ]],Sheet6!$H$9:$I$29,2,FALSE),"")</f>
        <v>Земля</v>
      </c>
      <c r="D402" t="s">
        <v>3361</v>
      </c>
      <c r="F402" t="s">
        <v>3287</v>
      </c>
      <c r="G402" s="1" t="s">
        <v>1056</v>
      </c>
      <c r="H402" t="s">
        <v>101</v>
      </c>
      <c r="J402" s="7">
        <v>9.4610000000000003</v>
      </c>
      <c r="K402" s="8"/>
      <c r="L402" s="8">
        <v>42915</v>
      </c>
      <c r="M402">
        <v>6</v>
      </c>
      <c r="N402" s="49" t="s">
        <v>57</v>
      </c>
      <c r="O402">
        <v>2017</v>
      </c>
      <c r="P402">
        <v>0.15029999999999999</v>
      </c>
      <c r="Q402" s="10">
        <v>0.05</v>
      </c>
      <c r="R402" s="11">
        <f>ROUND(Таб[[#This Row],[Зелений Тариф ЕЦ]]+Таб[[#This Row],[Зелений Тариф ЕЦ]]*Таб[[#This Row],[% надбавки]],4)</f>
        <v>0.1578</v>
      </c>
      <c r="S402" s="12">
        <v>43312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1.421</v>
      </c>
      <c r="AB402">
        <v>1.3379999999999999</v>
      </c>
      <c r="AC402">
        <v>0.83700000000000019</v>
      </c>
      <c r="AD402">
        <v>0.39100000000000001</v>
      </c>
      <c r="AE402">
        <v>0.42300000000000004</v>
      </c>
      <c r="AF402">
        <v>0.48299999999999998</v>
      </c>
      <c r="AG402">
        <v>0.45600000000000002</v>
      </c>
      <c r="AH402">
        <v>0.86</v>
      </c>
      <c r="AI402">
        <v>1.5549999999999999</v>
      </c>
      <c r="AJ402">
        <v>1.633</v>
      </c>
      <c r="AK402">
        <v>1.486</v>
      </c>
      <c r="AL402">
        <v>1.339</v>
      </c>
      <c r="AM402">
        <v>1.609</v>
      </c>
      <c r="AN402">
        <v>1.0900000000000001</v>
      </c>
      <c r="AO402">
        <v>1.133</v>
      </c>
      <c r="AP402">
        <v>0.28999999999999998</v>
      </c>
      <c r="AQ402">
        <v>0.29799999999999999</v>
      </c>
      <c r="AR402">
        <v>0.34699999999999998</v>
      </c>
      <c r="AS402">
        <v>0.59599999999999997</v>
      </c>
      <c r="AT402">
        <v>1.357</v>
      </c>
      <c r="AU402">
        <v>1.3049999999999999</v>
      </c>
      <c r="AV402">
        <v>1.413</v>
      </c>
      <c r="AW402">
        <v>1.4830000000000001</v>
      </c>
      <c r="AX402">
        <v>1.472</v>
      </c>
      <c r="AY402">
        <v>1.5529999999999999</v>
      </c>
      <c r="BD4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304.65247809583764</v>
      </c>
      <c r="BE4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525.32450768431818</v>
      </c>
      <c r="BF4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886.26175446061848</v>
      </c>
      <c r="BG4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1259.7067276103548</v>
      </c>
      <c r="BH4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1550.9580703060822</v>
      </c>
      <c r="BI4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1608.1362480132193</v>
      </c>
      <c r="BJ4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1634.0451097867654</v>
      </c>
      <c r="BK4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1412.4796711716108</v>
      </c>
      <c r="BL4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991.68401960815186</v>
      </c>
      <c r="BM4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637.00063601856948</v>
      </c>
      <c r="BN4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294.82497880242352</v>
      </c>
      <c r="BO4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249.26111844204897</v>
      </c>
      <c r="BP402">
        <f>SUM(Таб[[#This Row],[1]:[12]])</f>
        <v>11354.335320000002</v>
      </c>
    </row>
    <row r="403" spans="2:68" ht="51">
      <c r="B403" t="s">
        <v>384</v>
      </c>
      <c r="C403" t="str">
        <f>IFERROR(VLOOKUP(Таб[[#This Row],[Зелений Тариф ЕЦ]],Sheet6!$H$9:$I$29,2,FALSE),"")</f>
        <v>Земля</v>
      </c>
      <c r="D403" t="s">
        <v>3362</v>
      </c>
      <c r="F403" t="s">
        <v>3287</v>
      </c>
      <c r="G403" s="1" t="s">
        <v>1061</v>
      </c>
      <c r="H403" t="s">
        <v>198</v>
      </c>
      <c r="J403" s="7">
        <v>1.3060120068610637</v>
      </c>
      <c r="K403" s="8"/>
      <c r="L403" s="8">
        <v>41270</v>
      </c>
      <c r="M403">
        <v>12</v>
      </c>
      <c r="N403" s="49" t="s">
        <v>71</v>
      </c>
      <c r="O403">
        <v>2012</v>
      </c>
      <c r="P403">
        <v>0.46529999999999999</v>
      </c>
      <c r="Q403" s="10"/>
      <c r="R403" s="11">
        <f>ROUND(Таб[[#This Row],[Зелений Тариф ЕЦ]]+Таб[[#This Row],[Зелений Тариф ЕЦ]]*Таб[[#This Row],[% надбавки]],4)</f>
        <v>0.46529999999999999</v>
      </c>
      <c r="S403" s="12"/>
      <c r="T403">
        <v>5.3999999999999999E-2</v>
      </c>
      <c r="U403">
        <v>7.8000000000000014E-2</v>
      </c>
      <c r="V403">
        <v>0.14500000000000002</v>
      </c>
      <c r="W403">
        <v>0.18099999999999999</v>
      </c>
      <c r="X403">
        <v>0.21600000000000003</v>
      </c>
      <c r="Y403">
        <v>0.22199999999999998</v>
      </c>
      <c r="Z403">
        <v>0.21600000000000008</v>
      </c>
      <c r="AA403">
        <v>0.18899999999999983</v>
      </c>
      <c r="AB403">
        <v>0.15800000000000014</v>
      </c>
      <c r="AC403">
        <v>7.3999999999999844E-2</v>
      </c>
      <c r="AD403">
        <v>3.6000000000000032E-2</v>
      </c>
      <c r="AE403">
        <v>2.4000000000000021E-2</v>
      </c>
      <c r="AF403">
        <v>4.8000000000000001E-2</v>
      </c>
      <c r="AG403">
        <v>6.3E-2</v>
      </c>
      <c r="AH403">
        <v>0.113</v>
      </c>
      <c r="AI403">
        <v>0.17499999999999999</v>
      </c>
      <c r="AJ403">
        <v>0.23200000000000001</v>
      </c>
      <c r="AK403">
        <v>0.19900000000000001</v>
      </c>
      <c r="AL403">
        <v>0.185</v>
      </c>
      <c r="AM403">
        <v>0.22</v>
      </c>
      <c r="AN403">
        <v>0.13900000000000001</v>
      </c>
      <c r="AO403">
        <v>0.13</v>
      </c>
      <c r="AP403">
        <v>3.5999999999999997E-2</v>
      </c>
      <c r="AQ403">
        <v>1.7999999999999999E-2</v>
      </c>
      <c r="AR403">
        <v>0.02</v>
      </c>
      <c r="AS403">
        <v>6.0999999999999999E-2</v>
      </c>
      <c r="AT403">
        <v>0.127</v>
      </c>
      <c r="AU403">
        <v>0.16800000000000001</v>
      </c>
      <c r="AV403">
        <v>0.18</v>
      </c>
      <c r="AW403">
        <v>0.216</v>
      </c>
      <c r="AX403">
        <v>0.19700000000000001</v>
      </c>
      <c r="AY403">
        <v>0.19700000000000001</v>
      </c>
      <c r="BD4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42.054729342896223</v>
      </c>
      <c r="BE4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72.516659394788775</v>
      </c>
      <c r="BF4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122.34103081569806</v>
      </c>
      <c r="BG4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173.89198936505471</v>
      </c>
      <c r="BH4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214.09680392747163</v>
      </c>
      <c r="BI4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221.98977365751671</v>
      </c>
      <c r="BJ4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225.56627556644332</v>
      </c>
      <c r="BK4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194.9810178625188</v>
      </c>
      <c r="BL4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136.89369375546863</v>
      </c>
      <c r="BM4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87.932615898782984</v>
      </c>
      <c r="BN4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40.698125170544728</v>
      </c>
      <c r="BO4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34.408414916915085</v>
      </c>
      <c r="BP403">
        <f>SUM(Таб[[#This Row],[1]:[12]])</f>
        <v>1567.3711296740998</v>
      </c>
    </row>
    <row r="404" spans="2:68" ht="51">
      <c r="B404" t="s">
        <v>384</v>
      </c>
      <c r="C404" t="str">
        <f>IFERROR(VLOOKUP(Таб[[#This Row],[Зелений Тариф ЕЦ]],Sheet6!$H$9:$I$29,2,FALSE),"")</f>
        <v>Земля</v>
      </c>
      <c r="D404" t="s">
        <v>3362</v>
      </c>
      <c r="F404" t="s">
        <v>3287</v>
      </c>
      <c r="G404" s="1" t="s">
        <v>1061</v>
      </c>
      <c r="H404" t="s">
        <v>198</v>
      </c>
      <c r="J404" s="7">
        <v>2.4794339622641512</v>
      </c>
      <c r="K404" s="8"/>
      <c r="L404" s="8">
        <v>42362</v>
      </c>
      <c r="M404">
        <v>12</v>
      </c>
      <c r="N404" s="49" t="s">
        <v>71</v>
      </c>
      <c r="O404">
        <v>2015</v>
      </c>
      <c r="P404">
        <v>0.33929999999999999</v>
      </c>
      <c r="Q404" s="10"/>
      <c r="R404" s="11">
        <f>ROUND(Таб[[#This Row],[Зелений Тариф ЕЦ]]+Таб[[#This Row],[Зелений Тариф ЕЦ]]*Таб[[#This Row],[% надбавки]],4)</f>
        <v>0.33929999999999999</v>
      </c>
      <c r="S404" s="12"/>
      <c r="T404">
        <v>5.6000000000000001E-2</v>
      </c>
      <c r="U404">
        <v>6.6000000000000003E-2</v>
      </c>
      <c r="V404">
        <v>0.13100000000000001</v>
      </c>
      <c r="W404">
        <v>0.17099999999999999</v>
      </c>
      <c r="X404">
        <v>0.17599999999999999</v>
      </c>
      <c r="Y404">
        <v>0.20400000000000007</v>
      </c>
      <c r="Z404">
        <v>0.19499999999999995</v>
      </c>
      <c r="AA404">
        <v>0.18400000000000005</v>
      </c>
      <c r="AB404">
        <v>0.14900000000000002</v>
      </c>
      <c r="AC404">
        <v>6.7999999999999838E-2</v>
      </c>
      <c r="AD404">
        <v>3.5000000000000142E-2</v>
      </c>
      <c r="AE404">
        <v>6.32</v>
      </c>
      <c r="AF404">
        <v>7.8E-2</v>
      </c>
      <c r="AG404">
        <v>0.11700000000000001</v>
      </c>
      <c r="AH404">
        <v>0.21099999999999999</v>
      </c>
      <c r="AI404">
        <v>0.38600000000000001</v>
      </c>
      <c r="AJ404">
        <v>0.433</v>
      </c>
      <c r="AK404">
        <v>0.374</v>
      </c>
      <c r="AL404">
        <v>0.34899999999999998</v>
      </c>
      <c r="AM404">
        <v>0.41199999999999998</v>
      </c>
      <c r="AN404">
        <v>0.26</v>
      </c>
      <c r="AO404">
        <v>0.24299999999999999</v>
      </c>
      <c r="AP404">
        <v>6.6000000000000003E-2</v>
      </c>
      <c r="AQ404">
        <v>3.3000000000000002E-2</v>
      </c>
      <c r="AR404">
        <v>4.4999999999999998E-2</v>
      </c>
      <c r="AS404">
        <v>0.115</v>
      </c>
      <c r="AT404">
        <v>0.24</v>
      </c>
      <c r="AU404">
        <v>0.315</v>
      </c>
      <c r="AV404">
        <v>0.34100000000000003</v>
      </c>
      <c r="AW404">
        <v>0.40799999999999997</v>
      </c>
      <c r="AX404">
        <v>0.374</v>
      </c>
      <c r="AY404">
        <v>0.379</v>
      </c>
      <c r="BD4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79.839943016462882</v>
      </c>
      <c r="BE4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137.67122138909139</v>
      </c>
      <c r="BF4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232.2616524115283</v>
      </c>
      <c r="BG4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330.12996965751506</v>
      </c>
      <c r="BH4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406.45789172017459</v>
      </c>
      <c r="BI4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421.44251445640225</v>
      </c>
      <c r="BJ4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428.23242163375539</v>
      </c>
      <c r="BK4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370.16700853087332</v>
      </c>
      <c r="BL4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259.88955058144808</v>
      </c>
      <c r="BM4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166.938062670786</v>
      </c>
      <c r="BN4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77.264460983673743</v>
      </c>
      <c r="BO4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65.323589740742349</v>
      </c>
      <c r="BP404">
        <f>SUM(Таб[[#This Row],[1]:[12]])</f>
        <v>2975.6182867924531</v>
      </c>
    </row>
    <row r="405" spans="2:68" ht="51">
      <c r="B405" t="s">
        <v>384</v>
      </c>
      <c r="C405" t="str">
        <f>IFERROR(VLOOKUP(Таб[[#This Row],[Зелений Тариф ЕЦ]],Sheet6!$H$9:$I$29,2,FALSE),"")</f>
        <v>Земля</v>
      </c>
      <c r="D405" t="s">
        <v>3362</v>
      </c>
      <c r="F405" t="s">
        <v>3287</v>
      </c>
      <c r="G405" s="1" t="s">
        <v>1061</v>
      </c>
      <c r="H405" t="s">
        <v>198</v>
      </c>
      <c r="J405" s="7">
        <v>3.944554030874786</v>
      </c>
      <c r="K405" s="8"/>
      <c r="L405" s="8">
        <v>42362</v>
      </c>
      <c r="M405">
        <v>12</v>
      </c>
      <c r="N405" s="49" t="s">
        <v>71</v>
      </c>
      <c r="O405">
        <v>2015</v>
      </c>
      <c r="P405">
        <v>0.1696</v>
      </c>
      <c r="Q405" s="10">
        <v>0.05</v>
      </c>
      <c r="R405" s="11">
        <f>ROUND(Таб[[#This Row],[Зелений Тариф ЕЦ]]+Таб[[#This Row],[Зелений Тариф ЕЦ]]*Таб[[#This Row],[% надбавки]],4)</f>
        <v>0.17810000000000001</v>
      </c>
      <c r="S405" s="12">
        <v>43263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0.99099999999999999</v>
      </c>
      <c r="AA405">
        <v>0.91699999999999993</v>
      </c>
      <c r="AB405">
        <v>0.53000000000000025</v>
      </c>
      <c r="AC405">
        <v>0.26899999999999968</v>
      </c>
      <c r="AD405">
        <v>0.2280000000000002</v>
      </c>
      <c r="AE405">
        <v>0.13499999999999979</v>
      </c>
      <c r="AF405">
        <v>0.14299999999999999</v>
      </c>
      <c r="AG405">
        <v>0.18099999999999999</v>
      </c>
      <c r="AH405">
        <v>0.307</v>
      </c>
      <c r="AI405">
        <v>0.61299999999999999</v>
      </c>
      <c r="AJ405">
        <v>0.68600000000000005</v>
      </c>
      <c r="AK405">
        <v>0.58799999999999997</v>
      </c>
      <c r="AL405">
        <v>0.55100000000000005</v>
      </c>
      <c r="AM405">
        <v>0.65900000000000003</v>
      </c>
      <c r="AN405">
        <v>0.42099999999999999</v>
      </c>
      <c r="AO405">
        <v>0.39500000000000002</v>
      </c>
      <c r="AP405">
        <v>0.10299999999999999</v>
      </c>
      <c r="AQ405">
        <v>5.6000000000000001E-2</v>
      </c>
      <c r="AR405">
        <v>7.0999999999999994E-2</v>
      </c>
      <c r="AS405">
        <v>0.182</v>
      </c>
      <c r="AT405">
        <v>0.38600000000000001</v>
      </c>
      <c r="AU405">
        <v>0.505</v>
      </c>
      <c r="AV405">
        <v>0.54300000000000004</v>
      </c>
      <c r="AW405">
        <v>0.65200000000000002</v>
      </c>
      <c r="AX405">
        <v>0.59499999999999997</v>
      </c>
      <c r="AY405">
        <v>0.60799999999999998</v>
      </c>
      <c r="BD4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127.01809116255457</v>
      </c>
      <c r="BE4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219.0223976644636</v>
      </c>
      <c r="BF4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369.50717429106783</v>
      </c>
      <c r="BG4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525.20676990968309</v>
      </c>
      <c r="BH4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646.63755500936861</v>
      </c>
      <c r="BI4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670.47672754427629</v>
      </c>
      <c r="BJ4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681.27885259915627</v>
      </c>
      <c r="BK4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588.90205902638934</v>
      </c>
      <c r="BL4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413.4606486523038</v>
      </c>
      <c r="BM4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265.58328152170498</v>
      </c>
      <c r="BN4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122.92073338311734</v>
      </c>
      <c r="BO4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103.92389276936282</v>
      </c>
      <c r="BP405">
        <f>SUM(Таб[[#This Row],[1]:[12]])</f>
        <v>4733.9381835334498</v>
      </c>
    </row>
    <row r="406" spans="2:68" ht="51">
      <c r="B406" t="s">
        <v>384</v>
      </c>
      <c r="C406" t="str">
        <f>IFERROR(VLOOKUP(Таб[[#This Row],[Зелений Тариф ЕЦ]],Sheet6!$H$9:$I$29,2,FALSE),"")</f>
        <v>Земля</v>
      </c>
      <c r="D406" t="s">
        <v>3362</v>
      </c>
      <c r="F406" t="s">
        <v>3287</v>
      </c>
      <c r="G406" s="1" t="s">
        <v>1061</v>
      </c>
      <c r="H406" t="s">
        <v>73</v>
      </c>
      <c r="J406" s="7">
        <v>5.7619999999999996</v>
      </c>
      <c r="K406" s="8"/>
      <c r="L406" s="8">
        <v>42880</v>
      </c>
      <c r="M406">
        <v>5</v>
      </c>
      <c r="N406" s="49" t="s">
        <v>57</v>
      </c>
      <c r="O406">
        <v>2017</v>
      </c>
      <c r="P406">
        <v>0.15029999999999999</v>
      </c>
      <c r="Q406" s="10">
        <v>0.05</v>
      </c>
      <c r="R406" s="11">
        <f>ROUND(Таб[[#This Row],[Зелений Тариф ЕЦ]]+Таб[[#This Row],[Зелений Тариф ЕЦ]]*Таб[[#This Row],[% надбавки]],4)</f>
        <v>0.1578</v>
      </c>
      <c r="S406" s="12">
        <v>43096</v>
      </c>
      <c r="T406">
        <v>8.9999999999999993E-3</v>
      </c>
      <c r="U406">
        <v>1.2000000000000002E-2</v>
      </c>
      <c r="V406">
        <v>2.1000000000000001E-2</v>
      </c>
      <c r="W406">
        <v>2.8999999999999991E-2</v>
      </c>
      <c r="X406">
        <v>2.700000000000001E-2</v>
      </c>
      <c r="Y406">
        <v>1.999999999999999E-2</v>
      </c>
      <c r="Z406">
        <v>6.2E-2</v>
      </c>
      <c r="AA406">
        <v>3.3000000000000002E-2</v>
      </c>
      <c r="AB406">
        <v>0.03</v>
      </c>
      <c r="AC406">
        <v>1.2000000000000011E-2</v>
      </c>
      <c r="AD406">
        <v>5.0000000000000044E-3</v>
      </c>
      <c r="AE406">
        <v>3.0000000000000027E-3</v>
      </c>
      <c r="AF406">
        <v>0.17699999999999999</v>
      </c>
      <c r="AG406">
        <v>0.28199999999999997</v>
      </c>
      <c r="AH406">
        <v>0.49099999999999999</v>
      </c>
      <c r="AI406">
        <v>0.94899999999999995</v>
      </c>
      <c r="AJ406">
        <v>1.0089999999999999</v>
      </c>
      <c r="AK406">
        <v>0.97199999999999998</v>
      </c>
      <c r="AL406">
        <v>0.77900000000000003</v>
      </c>
      <c r="AM406">
        <v>1.018</v>
      </c>
      <c r="AN406">
        <v>0.59399999999999997</v>
      </c>
      <c r="AO406">
        <v>0.7</v>
      </c>
      <c r="AP406">
        <v>0.251</v>
      </c>
      <c r="AQ406">
        <v>0.113</v>
      </c>
      <c r="AR406">
        <v>0.16500000000000001</v>
      </c>
      <c r="AS406">
        <v>0.29299999999999998</v>
      </c>
      <c r="AT406">
        <v>0.69</v>
      </c>
      <c r="AU406">
        <v>0.88700000000000001</v>
      </c>
      <c r="AV406">
        <v>0.88700000000000001</v>
      </c>
      <c r="AW406">
        <v>0.94399999999999995</v>
      </c>
      <c r="AX406">
        <v>0.96199999999999997</v>
      </c>
      <c r="AY406">
        <v>0.91200000000000003</v>
      </c>
      <c r="BD4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185.54144157998272</v>
      </c>
      <c r="BE4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319.93656202061533</v>
      </c>
      <c r="BF4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539.75692095994964</v>
      </c>
      <c r="BG4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767.19481709025092</v>
      </c>
      <c r="BH4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944.57461167991187</v>
      </c>
      <c r="BI4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979.39763883861826</v>
      </c>
      <c r="BJ4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995.17682301990703</v>
      </c>
      <c r="BK4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860.23759277991974</v>
      </c>
      <c r="BL4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603.9618772838146</v>
      </c>
      <c r="BM4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387.95028693996375</v>
      </c>
      <c r="BN4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179.55623378708006</v>
      </c>
      <c r="BO4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151.80663401998584</v>
      </c>
      <c r="BP406">
        <f>SUM(Таб[[#This Row],[1]:[12]])</f>
        <v>6915.0914399999992</v>
      </c>
    </row>
    <row r="407" spans="2:68" ht="51">
      <c r="B407" t="s">
        <v>384</v>
      </c>
      <c r="C407" t="str">
        <f>IFERROR(VLOOKUP(Таб[[#This Row],[Зелений Тариф ЕЦ]],Sheet6!$H$9:$I$29,2,FALSE),"")</f>
        <v>Земля</v>
      </c>
      <c r="D407" t="s">
        <v>3362</v>
      </c>
      <c r="F407" t="s">
        <v>3287</v>
      </c>
      <c r="G407" s="1" t="s">
        <v>1061</v>
      </c>
      <c r="H407" t="s">
        <v>73</v>
      </c>
      <c r="J407" s="7">
        <v>5.9580000000000002</v>
      </c>
      <c r="K407" s="8"/>
      <c r="L407" s="8">
        <v>43277</v>
      </c>
      <c r="M407">
        <v>6</v>
      </c>
      <c r="N407" s="49" t="s">
        <v>57</v>
      </c>
      <c r="O407">
        <v>2018</v>
      </c>
      <c r="P407">
        <v>0.15029999999999999</v>
      </c>
      <c r="Q407" s="10">
        <v>0.05</v>
      </c>
      <c r="R407" s="11">
        <f>ROUND(Таб[[#This Row],[Зелений Тариф ЕЦ]]+Таб[[#This Row],[Зелений Тариф ЕЦ]]*Таб[[#This Row],[% надбавки]],4)</f>
        <v>0.1578</v>
      </c>
      <c r="S407" s="12">
        <v>43371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0.246</v>
      </c>
      <c r="AL407">
        <v>0.88</v>
      </c>
      <c r="AM407">
        <v>0.97499999999999998</v>
      </c>
      <c r="AN407">
        <v>1.034</v>
      </c>
      <c r="AO407">
        <v>1.2689999999999999</v>
      </c>
      <c r="AP407">
        <v>0.46300000000000002</v>
      </c>
      <c r="AQ407">
        <v>0.16400000000000001</v>
      </c>
      <c r="AR407">
        <v>0.30099999999999999</v>
      </c>
      <c r="AS407">
        <v>0.55200000000000005</v>
      </c>
      <c r="AT407">
        <v>1.373</v>
      </c>
      <c r="AU407">
        <v>1.583</v>
      </c>
      <c r="AV407">
        <v>1.617</v>
      </c>
      <c r="AW407">
        <v>1.68</v>
      </c>
      <c r="AX407">
        <v>1.7529999999999999</v>
      </c>
      <c r="AY407">
        <v>1.73</v>
      </c>
      <c r="BD4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191.85281307419942</v>
      </c>
      <c r="BE4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330.81951345345817</v>
      </c>
      <c r="BF4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558.11727439767094</v>
      </c>
      <c r="BG4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793.29169042410899</v>
      </c>
      <c r="BH4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976.70523019592417</v>
      </c>
      <c r="BI4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1012.7127962860965</v>
      </c>
      <c r="BJ4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1029.0287246707057</v>
      </c>
      <c r="BK4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889.49940607128826</v>
      </c>
      <c r="BL4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624.50622437642619</v>
      </c>
      <c r="BM4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401.14679097332601</v>
      </c>
      <c r="BN4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185.66401265245108</v>
      </c>
      <c r="BO4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156.97048342434496</v>
      </c>
      <c r="BP407">
        <f>SUM(Таб[[#This Row],[1]:[12]])</f>
        <v>7150.3149599999988</v>
      </c>
    </row>
    <row r="408" spans="2:68" ht="51">
      <c r="B408" t="s">
        <v>384</v>
      </c>
      <c r="C408" t="str">
        <f>IFERROR(VLOOKUP(Таб[[#This Row],[Зелений Тариф ЕЦ]],Sheet6!$H$9:$I$29,2,FALSE),"")</f>
        <v>Земля</v>
      </c>
      <c r="D408" t="s">
        <v>3362</v>
      </c>
      <c r="F408" t="s">
        <v>3287</v>
      </c>
      <c r="G408" s="1" t="s">
        <v>1061</v>
      </c>
      <c r="H408" t="s">
        <v>73</v>
      </c>
      <c r="J408" s="7">
        <v>4.8230000000000004</v>
      </c>
      <c r="K408" s="8"/>
      <c r="L408" s="8">
        <v>43300</v>
      </c>
      <c r="M408">
        <v>7</v>
      </c>
      <c r="N408" s="49" t="s">
        <v>60</v>
      </c>
      <c r="O408">
        <v>2018</v>
      </c>
      <c r="P408">
        <v>0.15029999999999999</v>
      </c>
      <c r="Q408" s="10">
        <v>0.05</v>
      </c>
      <c r="R408" s="11">
        <f>ROUND(Таб[[#This Row],[Зелений Тариф ЕЦ]]+Таб[[#This Row],[Зелений Тариф ЕЦ]]*Таб[[#This Row],[% надбавки]],4)</f>
        <v>0.1578</v>
      </c>
      <c r="S408" s="12">
        <v>43371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BD4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155.30481998268948</v>
      </c>
      <c r="BE4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267.79834061531199</v>
      </c>
      <c r="BF4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451.79583994964196</v>
      </c>
      <c r="BG4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642.16949025100325</v>
      </c>
      <c r="BH4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790.64271991187354</v>
      </c>
      <c r="BI4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819.79083861830202</v>
      </c>
      <c r="BJ4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832.99857990715248</v>
      </c>
      <c r="BK4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720.0496199197421</v>
      </c>
      <c r="BL4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505.53768381461964</v>
      </c>
      <c r="BM4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324.72825996380516</v>
      </c>
      <c r="BN4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150.29498708002205</v>
      </c>
      <c r="BO4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127.06757998583683</v>
      </c>
      <c r="BP408">
        <f>SUM(Таб[[#This Row],[1]:[12]])</f>
        <v>5788.1787600000016</v>
      </c>
    </row>
    <row r="409" spans="2:68" ht="38.25">
      <c r="B409" t="s">
        <v>384</v>
      </c>
      <c r="C409" t="str">
        <f>IFERROR(VLOOKUP(Таб[[#This Row],[Зелений Тариф ЕЦ]],Sheet6!$H$9:$I$29,2,FALSE),"")</f>
        <v>Земля</v>
      </c>
      <c r="G409" s="1" t="s">
        <v>1080</v>
      </c>
      <c r="H409" t="s">
        <v>136</v>
      </c>
      <c r="I409" t="s">
        <v>386</v>
      </c>
      <c r="J409" s="7">
        <v>0.24</v>
      </c>
      <c r="K409" s="8"/>
      <c r="L409" s="8">
        <v>42509</v>
      </c>
      <c r="M409">
        <v>5</v>
      </c>
      <c r="N409" s="49" t="s">
        <v>57</v>
      </c>
      <c r="O409">
        <v>2016</v>
      </c>
      <c r="P409">
        <v>0.1696</v>
      </c>
      <c r="Q409" s="10"/>
      <c r="R409" s="11">
        <f>ROUND(Таб[[#This Row],[Зелений Тариф ЕЦ]]+Таб[[#This Row],[Зелений Тариф ЕЦ]]*Таб[[#This Row],[% надбавки]],4)</f>
        <v>0.1696</v>
      </c>
      <c r="S409" s="12"/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3.0000000000000001E-3</v>
      </c>
      <c r="AG409">
        <v>6.0000000000000001E-3</v>
      </c>
      <c r="AH409">
        <v>1.2999999999999999E-2</v>
      </c>
      <c r="AI409">
        <v>3.2000000000000001E-2</v>
      </c>
      <c r="AJ409">
        <v>3.9E-2</v>
      </c>
      <c r="AK409">
        <v>3.3000000000000002E-2</v>
      </c>
      <c r="AL409">
        <v>3.4000000000000002E-2</v>
      </c>
      <c r="AM409">
        <v>3.7999999999999999E-2</v>
      </c>
      <c r="AN409">
        <v>2.1999999999999999E-2</v>
      </c>
      <c r="AO409">
        <v>1.7999999999999999E-2</v>
      </c>
      <c r="AP409">
        <v>6.0000000000000001E-3</v>
      </c>
      <c r="AQ409">
        <v>1E-3</v>
      </c>
      <c r="AR409">
        <v>5.0000000000000001E-3</v>
      </c>
      <c r="AS409">
        <v>0.01</v>
      </c>
      <c r="AT409">
        <v>2.1999999999999999E-2</v>
      </c>
      <c r="AU409">
        <v>3.1E-2</v>
      </c>
      <c r="AV409">
        <v>2.9000000000000001E-2</v>
      </c>
      <c r="AW409">
        <v>3.5000000000000003E-2</v>
      </c>
      <c r="AX409">
        <v>3.4000000000000002E-2</v>
      </c>
      <c r="AY409">
        <v>3.4000000000000002E-2</v>
      </c>
      <c r="BD4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7.7282099929184049</v>
      </c>
      <c r="BE4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13.326062978991265</v>
      </c>
      <c r="BF4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22.482065433944445</v>
      </c>
      <c r="BG4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31.955355102683132</v>
      </c>
      <c r="BH4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39.343614509402784</v>
      </c>
      <c r="BI4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40.794070343850812</v>
      </c>
      <c r="BJ4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41.451308143835078</v>
      </c>
      <c r="BK4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35.830791785348964</v>
      </c>
      <c r="BL4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25.156343378708002</v>
      </c>
      <c r="BM4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16.158984530647572</v>
      </c>
      <c r="BN4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7.4789128963726501</v>
      </c>
      <c r="BO4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6.3230809032968764</v>
      </c>
      <c r="BP409">
        <f>SUM(Таб[[#This Row],[1]:[12]])</f>
        <v>288.02879999999999</v>
      </c>
    </row>
    <row r="410" spans="2:68" ht="38.25">
      <c r="B410" t="s">
        <v>384</v>
      </c>
      <c r="C410" t="str">
        <f>IFERROR(VLOOKUP(Таб[[#This Row],[Зелений Тариф ЕЦ]],Sheet6!$H$9:$I$29,2,FALSE),"")</f>
        <v>Земля</v>
      </c>
      <c r="G410" s="1" t="s">
        <v>1080</v>
      </c>
      <c r="H410" t="s">
        <v>122</v>
      </c>
      <c r="J410" s="7">
        <v>0.40300000000000002</v>
      </c>
      <c r="K410" s="8"/>
      <c r="L410" s="8">
        <v>42803</v>
      </c>
      <c r="M410">
        <v>3</v>
      </c>
      <c r="N410" s="49" t="s">
        <v>67</v>
      </c>
      <c r="O410">
        <v>2017</v>
      </c>
      <c r="P410">
        <v>0.15989999999999999</v>
      </c>
      <c r="Q410" s="10"/>
      <c r="R410" s="11">
        <f>ROUND(Таб[[#This Row],[Зелений Тариф ЕЦ]]+Таб[[#This Row],[Зелений Тариф ЕЦ]]*Таб[[#This Row],[% надбавки]],4)</f>
        <v>0.15989999999999999</v>
      </c>
      <c r="S410" s="12"/>
      <c r="T410">
        <v>0</v>
      </c>
      <c r="U410">
        <v>0</v>
      </c>
      <c r="V410">
        <v>0</v>
      </c>
      <c r="W410">
        <v>0</v>
      </c>
      <c r="X410">
        <v>1.0999999999999999E-2</v>
      </c>
      <c r="Y410">
        <v>7.9000000000000001E-2</v>
      </c>
      <c r="Z410">
        <v>3.6000000000000004E-2</v>
      </c>
      <c r="AA410">
        <v>5.6999999999999995E-2</v>
      </c>
      <c r="AB410">
        <v>5.3999999999999992E-2</v>
      </c>
      <c r="AC410">
        <v>2.4000000000000021E-2</v>
      </c>
      <c r="AD410">
        <v>9.000000000000008E-3</v>
      </c>
      <c r="AE410">
        <v>6.0000000000000053E-3</v>
      </c>
      <c r="AF410">
        <v>6.0000000000000001E-3</v>
      </c>
      <c r="AG410">
        <v>1.4E-2</v>
      </c>
      <c r="AH410">
        <v>3.2000000000000001E-2</v>
      </c>
      <c r="AI410">
        <v>0.06</v>
      </c>
      <c r="AJ410">
        <v>6.8000000000000005E-2</v>
      </c>
      <c r="AK410">
        <v>6.7000000000000004E-2</v>
      </c>
      <c r="AL410">
        <v>0.06</v>
      </c>
      <c r="AM410">
        <v>6.7000000000000004E-2</v>
      </c>
      <c r="AN410">
        <v>4.1000000000000002E-2</v>
      </c>
      <c r="AO410">
        <v>3.7999999999999999E-2</v>
      </c>
      <c r="AP410">
        <v>1.4E-2</v>
      </c>
      <c r="AQ410">
        <v>3.0000000000000001E-3</v>
      </c>
      <c r="AR410">
        <v>1.0999999999999999E-2</v>
      </c>
      <c r="AS410">
        <v>2.1000000000000001E-2</v>
      </c>
      <c r="AT410">
        <v>4.2999999999999997E-2</v>
      </c>
      <c r="AU410">
        <v>5.6000000000000001E-2</v>
      </c>
      <c r="AV410">
        <v>5.2999999999999999E-2</v>
      </c>
      <c r="AW410">
        <v>6.5000000000000002E-2</v>
      </c>
      <c r="AX410">
        <v>6.3E-2</v>
      </c>
      <c r="AY410">
        <v>6.0999999999999999E-2</v>
      </c>
      <c r="BD4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12.976952613108821</v>
      </c>
      <c r="BE4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22.376680752222839</v>
      </c>
      <c r="BF4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37.751134874498391</v>
      </c>
      <c r="BG4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53.658367109922111</v>
      </c>
      <c r="BH4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66.064486030372194</v>
      </c>
      <c r="BI4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68.500043119049508</v>
      </c>
      <c r="BJ4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69.603654924856414</v>
      </c>
      <c r="BK4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60.165871206231806</v>
      </c>
      <c r="BL4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42.241693256747197</v>
      </c>
      <c r="BM4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27.133628191045712</v>
      </c>
      <c r="BN4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12.55834123849241</v>
      </c>
      <c r="BO4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10.617506683452673</v>
      </c>
      <c r="BP410">
        <f>SUM(Таб[[#This Row],[1]:[12]])</f>
        <v>483.64836000000008</v>
      </c>
    </row>
    <row r="411" spans="2:68" ht="38.25">
      <c r="B411" t="s">
        <v>384</v>
      </c>
      <c r="C411" t="str">
        <f>IFERROR(VLOOKUP(Таб[[#This Row],[Зелений Тариф ЕЦ]],Sheet6!$H$9:$I$29,2,FALSE),"")</f>
        <v>Земля</v>
      </c>
      <c r="G411" s="1" t="s">
        <v>1086</v>
      </c>
      <c r="H411" t="s">
        <v>122</v>
      </c>
      <c r="J411" s="7">
        <v>1.1579999999999999</v>
      </c>
      <c r="K411" s="8"/>
      <c r="L411" s="8">
        <v>43300</v>
      </c>
      <c r="M411">
        <v>7</v>
      </c>
      <c r="N411" s="49" t="s">
        <v>60</v>
      </c>
      <c r="O411">
        <v>2018</v>
      </c>
      <c r="P411">
        <v>0.15029999999999999</v>
      </c>
      <c r="Q411" s="10"/>
      <c r="R411" s="11">
        <f>ROUND(Таб[[#This Row],[Зелений Тариф ЕЦ]]+Таб[[#This Row],[Зелений Тариф ЕЦ]]*Таб[[#This Row],[% надбавки]],4)</f>
        <v>0.15029999999999999</v>
      </c>
      <c r="S411" s="12"/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4.7E-2</v>
      </c>
      <c r="AO411">
        <v>0.11600000000000001</v>
      </c>
      <c r="AP411">
        <v>4.8000000000000001E-2</v>
      </c>
      <c r="AQ411">
        <v>0.01</v>
      </c>
      <c r="AR411">
        <v>0.02</v>
      </c>
      <c r="AS411">
        <v>5.1999999999999998E-2</v>
      </c>
      <c r="AT411">
        <v>0.11799999999999999</v>
      </c>
      <c r="AU411">
        <v>0.16</v>
      </c>
      <c r="AV411">
        <v>0.16300000000000001</v>
      </c>
      <c r="AW411">
        <v>0.17599999999999999</v>
      </c>
      <c r="AX411">
        <v>0.188</v>
      </c>
      <c r="AY411">
        <v>0.221</v>
      </c>
      <c r="BD4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37.288613215831305</v>
      </c>
      <c r="BE4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64.298253873632859</v>
      </c>
      <c r="BF4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108.47596571878195</v>
      </c>
      <c r="BG4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154.18458837044614</v>
      </c>
      <c r="BH4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189.83294000786844</v>
      </c>
      <c r="BI4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196.83138940908015</v>
      </c>
      <c r="BJ4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200.00256179400424</v>
      </c>
      <c r="BK4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172.88357036430875</v>
      </c>
      <c r="BL4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121.3793568022661</v>
      </c>
      <c r="BM4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77.967100360374516</v>
      </c>
      <c r="BN4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36.08575472499804</v>
      </c>
      <c r="BO4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30.508865358407427</v>
      </c>
      <c r="BP411">
        <f>SUM(Таб[[#This Row],[1]:[12]])</f>
        <v>1389.7389599999997</v>
      </c>
    </row>
    <row r="412" spans="2:68" ht="38.25">
      <c r="B412" t="s">
        <v>384</v>
      </c>
      <c r="C412" t="str">
        <f>IFERROR(VLOOKUP(Таб[[#This Row],[Зелений Тариф ЕЦ]],Sheet6!$H$9:$I$29,2,FALSE),"")</f>
        <v>Земля</v>
      </c>
      <c r="G412" s="1" t="s">
        <v>1086</v>
      </c>
      <c r="H412" t="s">
        <v>122</v>
      </c>
      <c r="J412" s="7">
        <v>1.2010000000000001</v>
      </c>
      <c r="K412" s="8"/>
      <c r="L412" s="8">
        <v>43697</v>
      </c>
      <c r="M412">
        <v>8</v>
      </c>
      <c r="N412" s="49" t="s">
        <v>60</v>
      </c>
      <c r="O412">
        <v>2019</v>
      </c>
      <c r="P412">
        <v>0.15029999999999999</v>
      </c>
      <c r="Q412" s="10"/>
      <c r="R412" s="11">
        <f>ROUND(Таб[[#This Row],[Зелений Тариф ЕЦ]]+Таб[[#This Row],[Зелений Тариф ЕЦ]]*Таб[[#This Row],[% надбавки]],4)</f>
        <v>0.15029999999999999</v>
      </c>
      <c r="S412" s="12"/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BD4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38.673250839562527</v>
      </c>
      <c r="BE4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66.685840157368801</v>
      </c>
      <c r="BF4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112.50400244236367</v>
      </c>
      <c r="BG4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159.90992282634355</v>
      </c>
      <c r="BH4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196.88200427413642</v>
      </c>
      <c r="BI4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204.14032701235345</v>
      </c>
      <c r="BJ4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207.42925450310804</v>
      </c>
      <c r="BK4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179.30325389251715</v>
      </c>
      <c r="BL4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125.8865349909513</v>
      </c>
      <c r="BM4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80.862251755448895</v>
      </c>
      <c r="BN4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37.425726618931478</v>
      </c>
      <c r="BO4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31.641750686914786</v>
      </c>
      <c r="BP412">
        <f>SUM(Таб[[#This Row],[1]:[12]])</f>
        <v>1441.3441200000002</v>
      </c>
    </row>
    <row r="413" spans="2:68" ht="51">
      <c r="B413" t="s">
        <v>384</v>
      </c>
      <c r="C413" t="str">
        <f>IFERROR(VLOOKUP(Таб[[#This Row],[Зелений Тариф ЕЦ]],Sheet6!$H$9:$I$29,2,FALSE),"")</f>
        <v>Земля</v>
      </c>
      <c r="G413" s="1" t="s">
        <v>1090</v>
      </c>
      <c r="H413" t="s">
        <v>73</v>
      </c>
      <c r="J413" s="7">
        <v>0.53800000000000003</v>
      </c>
      <c r="K413" s="8"/>
      <c r="L413" s="8">
        <v>42495</v>
      </c>
      <c r="M413">
        <v>5</v>
      </c>
      <c r="N413" s="49" t="s">
        <v>57</v>
      </c>
      <c r="O413">
        <v>2016</v>
      </c>
      <c r="P413">
        <v>0.15989999999999999</v>
      </c>
      <c r="Q413" s="10"/>
      <c r="R413" s="11">
        <f>ROUND(Таб[[#This Row],[Зелений Тариф ЕЦ]]+Таб[[#This Row],[Зелений Тариф ЕЦ]]*Таб[[#This Row],[% надбавки]],4)</f>
        <v>0.15989999999999999</v>
      </c>
      <c r="S413" s="12"/>
      <c r="T413">
        <v>0.215</v>
      </c>
      <c r="U413">
        <v>0.47799999999999998</v>
      </c>
      <c r="V413">
        <v>0.97200000000000009</v>
      </c>
      <c r="W413">
        <v>0.96</v>
      </c>
      <c r="X413">
        <v>1.3319999999999999</v>
      </c>
      <c r="Y413">
        <v>1.343</v>
      </c>
      <c r="Z413">
        <v>1.3250000000000002</v>
      </c>
      <c r="AA413">
        <v>1.2119999999999997</v>
      </c>
      <c r="AB413">
        <v>1.072000000000001</v>
      </c>
      <c r="AC413">
        <v>0.53699999999999903</v>
      </c>
      <c r="AD413">
        <v>0.30000000000000071</v>
      </c>
      <c r="AE413">
        <v>0.18799999999999883</v>
      </c>
      <c r="AF413">
        <v>0.253</v>
      </c>
      <c r="AG413">
        <v>0.36099999999999999</v>
      </c>
      <c r="AH413">
        <v>0.64600000000000002</v>
      </c>
      <c r="AI413">
        <v>1.2250000000000001</v>
      </c>
      <c r="AJ413">
        <v>1.329</v>
      </c>
      <c r="AK413">
        <v>1.2609999999999999</v>
      </c>
      <c r="AL413">
        <v>1.2</v>
      </c>
      <c r="AM413">
        <v>1.3069999999999999</v>
      </c>
      <c r="AN413">
        <v>0.86299999999999999</v>
      </c>
      <c r="AO413">
        <v>0.92100000000000004</v>
      </c>
      <c r="AP413">
        <v>0.32700000000000001</v>
      </c>
      <c r="AQ413">
        <v>0.13500000000000001</v>
      </c>
      <c r="AR413">
        <v>0.184</v>
      </c>
      <c r="AS413">
        <v>0.39300000000000002</v>
      </c>
      <c r="AT413">
        <v>0.86599999999999999</v>
      </c>
      <c r="AU413">
        <v>1.141</v>
      </c>
      <c r="AV413">
        <v>1.1879999999999999</v>
      </c>
      <c r="AW413">
        <v>1.2330000000000001</v>
      </c>
      <c r="AX413">
        <v>1.286</v>
      </c>
      <c r="AY413">
        <v>1.2330000000000001</v>
      </c>
      <c r="BD4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17.324070734125428</v>
      </c>
      <c r="BE4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29.872591177905427</v>
      </c>
      <c r="BF4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50.397296681092143</v>
      </c>
      <c r="BG4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71.633254355181379</v>
      </c>
      <c r="BH4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88.195269191911251</v>
      </c>
      <c r="BI4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91.44670768746559</v>
      </c>
      <c r="BJ4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92.920015755763643</v>
      </c>
      <c r="BK4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80.320691585490607</v>
      </c>
      <c r="BL4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56.392136407270456</v>
      </c>
      <c r="BM4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36.223056989534975</v>
      </c>
      <c r="BN4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16.765229742702026</v>
      </c>
      <c r="BO4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14.174239691557165</v>
      </c>
      <c r="BP413">
        <f>SUM(Таб[[#This Row],[1]:[12]])</f>
        <v>645.66456000000005</v>
      </c>
    </row>
    <row r="414" spans="2:68" ht="51">
      <c r="B414" t="s">
        <v>384</v>
      </c>
      <c r="C414" t="str">
        <f>IFERROR(VLOOKUP(Таб[[#This Row],[Зелений Тариф ЕЦ]],Sheet6!$H$9:$I$29,2,FALSE),"")</f>
        <v>Земля</v>
      </c>
      <c r="G414" s="1" t="s">
        <v>1090</v>
      </c>
      <c r="H414" t="s">
        <v>73</v>
      </c>
      <c r="J414" s="7">
        <v>0.53800000000000003</v>
      </c>
      <c r="K414" s="8"/>
      <c r="L414" s="8">
        <v>42551</v>
      </c>
      <c r="M414">
        <v>6</v>
      </c>
      <c r="N414" s="49" t="s">
        <v>57</v>
      </c>
      <c r="O414">
        <v>2016</v>
      </c>
      <c r="P414">
        <v>0.15989999999999999</v>
      </c>
      <c r="Q414" s="10"/>
      <c r="R414" s="11">
        <f>ROUND(Таб[[#This Row],[Зелений Тариф ЕЦ]]+Таб[[#This Row],[Зелений Тариф ЕЦ]]*Таб[[#This Row],[% надбавки]],4)</f>
        <v>0.15989999999999999</v>
      </c>
      <c r="S414" s="12"/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BD4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17.324070734125428</v>
      </c>
      <c r="BE4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29.872591177905427</v>
      </c>
      <c r="BF4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50.397296681092143</v>
      </c>
      <c r="BG4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71.633254355181379</v>
      </c>
      <c r="BH4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88.195269191911251</v>
      </c>
      <c r="BI4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91.44670768746559</v>
      </c>
      <c r="BJ4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92.920015755763643</v>
      </c>
      <c r="BK4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80.320691585490607</v>
      </c>
      <c r="BL4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56.392136407270456</v>
      </c>
      <c r="BM4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36.223056989534975</v>
      </c>
      <c r="BN4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16.765229742702026</v>
      </c>
      <c r="BO4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14.174239691557165</v>
      </c>
      <c r="BP414">
        <f>SUM(Таб[[#This Row],[1]:[12]])</f>
        <v>645.66456000000005</v>
      </c>
    </row>
    <row r="415" spans="2:68" ht="51">
      <c r="B415" t="s">
        <v>384</v>
      </c>
      <c r="C415" t="str">
        <f>IFERROR(VLOOKUP(Таб[[#This Row],[Зелений Тариф ЕЦ]],Sheet6!$H$9:$I$29,2,FALSE),"")</f>
        <v>Земля</v>
      </c>
      <c r="G415" s="1" t="s">
        <v>1090</v>
      </c>
      <c r="H415" t="s">
        <v>73</v>
      </c>
      <c r="J415" s="7">
        <v>2.78</v>
      </c>
      <c r="K415" s="8"/>
      <c r="L415" s="8">
        <v>42860</v>
      </c>
      <c r="M415">
        <v>5</v>
      </c>
      <c r="N415" s="49" t="s">
        <v>57</v>
      </c>
      <c r="O415">
        <v>2017</v>
      </c>
      <c r="P415">
        <v>0.15989999999999999</v>
      </c>
      <c r="Q415" s="10"/>
      <c r="R415" s="11">
        <f>ROUND(Таб[[#This Row],[Зелений Тариф ЕЦ]]+Таб[[#This Row],[Зелений Тариф ЕЦ]]*Таб[[#This Row],[% надбавки]],4)</f>
        <v>0.15989999999999999</v>
      </c>
      <c r="S415" s="12"/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BD4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89.518432417971525</v>
      </c>
      <c r="BE4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154.36022950664881</v>
      </c>
      <c r="BF4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260.41725794318984</v>
      </c>
      <c r="BG4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370.14952993941296</v>
      </c>
      <c r="BH4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455.73020140058225</v>
      </c>
      <c r="BI4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472.5313148162719</v>
      </c>
      <c r="BJ4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480.14431933275625</v>
      </c>
      <c r="BK4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415.04000484695888</v>
      </c>
      <c r="BL4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291.39431080336772</v>
      </c>
      <c r="BM4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187.1749041466677</v>
      </c>
      <c r="BN4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86.630741049649856</v>
      </c>
      <c r="BO4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73.242353796522139</v>
      </c>
      <c r="BP415">
        <f>SUM(Таб[[#This Row],[1]:[12]])</f>
        <v>3336.3335999999999</v>
      </c>
    </row>
    <row r="416" spans="2:68" ht="51">
      <c r="B416" t="s">
        <v>384</v>
      </c>
      <c r="C416" t="str">
        <f>IFERROR(VLOOKUP(Таб[[#This Row],[Зелений Тариф ЕЦ]],Sheet6!$H$9:$I$29,2,FALSE),"")</f>
        <v>Земля</v>
      </c>
      <c r="G416" s="1" t="s">
        <v>1090</v>
      </c>
      <c r="H416" t="s">
        <v>73</v>
      </c>
      <c r="J416" s="7">
        <v>3.8570000000000002</v>
      </c>
      <c r="K416" s="8"/>
      <c r="L416" s="8">
        <v>42860</v>
      </c>
      <c r="M416">
        <v>5</v>
      </c>
      <c r="N416" s="49" t="s">
        <v>57</v>
      </c>
      <c r="O416">
        <v>2017</v>
      </c>
      <c r="P416">
        <v>0.15989999999999999</v>
      </c>
      <c r="Q416" s="10"/>
      <c r="R416" s="11">
        <f>ROUND(Таб[[#This Row],[Зелений Тариф ЕЦ]]+Таб[[#This Row],[Зелений Тариф ЕЦ]]*Таб[[#This Row],[% надбавки]],4)</f>
        <v>0.15989999999999999</v>
      </c>
      <c r="S416" s="12"/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BD4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124.19877476119288</v>
      </c>
      <c r="BE4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214.16093712487213</v>
      </c>
      <c r="BF4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361.30552657801559</v>
      </c>
      <c r="BG4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513.54918596270363</v>
      </c>
      <c r="BH4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632.28467151152722</v>
      </c>
      <c r="BI4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655.59470548430261</v>
      </c>
      <c r="BJ4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666.15706462821629</v>
      </c>
      <c r="BK4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575.83068298371245</v>
      </c>
      <c r="BL4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404.28340171531994</v>
      </c>
      <c r="BM4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259.68834722794867</v>
      </c>
      <c r="BN4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120.19236267212213</v>
      </c>
      <c r="BO4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101.61717935006689</v>
      </c>
      <c r="BP416">
        <f>SUM(Таб[[#This Row],[1]:[12]])</f>
        <v>4628.8628399999998</v>
      </c>
    </row>
    <row r="417" spans="2:68" ht="63.75">
      <c r="B417" t="s">
        <v>384</v>
      </c>
      <c r="C417" t="str">
        <f>IFERROR(VLOOKUP(Таб[[#This Row],[Зелений Тариф ЕЦ]],Sheet6!$H$9:$I$29,2,FALSE),"")</f>
        <v>Земля</v>
      </c>
      <c r="D417" t="s">
        <v>3359</v>
      </c>
      <c r="E417" t="s">
        <v>3385</v>
      </c>
      <c r="F417" t="s">
        <v>3287</v>
      </c>
      <c r="G417" s="1" t="s">
        <v>1096</v>
      </c>
      <c r="H417" t="s">
        <v>98</v>
      </c>
      <c r="J417" s="7">
        <v>3.1160000000000001</v>
      </c>
      <c r="K417" s="8"/>
      <c r="L417" s="8">
        <v>41263</v>
      </c>
      <c r="M417">
        <v>12</v>
      </c>
      <c r="N417" s="49" t="s">
        <v>71</v>
      </c>
      <c r="O417">
        <v>2012</v>
      </c>
      <c r="P417">
        <v>0.46529999999999999</v>
      </c>
      <c r="Q417" s="10"/>
      <c r="R417" s="11">
        <f>ROUND(Таб[[#This Row],[Зелений Тариф ЕЦ]]+Таб[[#This Row],[Зелений Тариф ЕЦ]]*Таб[[#This Row],[% надбавки]],4)</f>
        <v>0.46529999999999999</v>
      </c>
      <c r="S417" s="12"/>
      <c r="T417">
        <v>0.11</v>
      </c>
      <c r="U417">
        <v>0.192</v>
      </c>
      <c r="V417">
        <v>0.22000000000000003</v>
      </c>
      <c r="W417">
        <v>0.33799999999999997</v>
      </c>
      <c r="X417">
        <v>0.38900000000000012</v>
      </c>
      <c r="Y417">
        <v>0.42899999999999983</v>
      </c>
      <c r="Z417">
        <v>0.45500000000000007</v>
      </c>
      <c r="AA417">
        <v>0.44200000000000017</v>
      </c>
      <c r="AB417">
        <v>0.28699999999999992</v>
      </c>
      <c r="AC417">
        <v>0.21099999999999985</v>
      </c>
      <c r="AD417">
        <v>0.125</v>
      </c>
      <c r="AE417">
        <v>5.600000000000005E-2</v>
      </c>
      <c r="AF417">
        <v>0.108</v>
      </c>
      <c r="AG417">
        <v>5.7000000000000002E-2</v>
      </c>
      <c r="AH417">
        <v>0.224</v>
      </c>
      <c r="AI417">
        <v>0.41699999999999998</v>
      </c>
      <c r="AJ417">
        <v>0.44600000000000001</v>
      </c>
      <c r="AK417">
        <v>0.36799999999999999</v>
      </c>
      <c r="AL417">
        <v>0.38600000000000001</v>
      </c>
      <c r="AM417">
        <v>0.41199999999999998</v>
      </c>
      <c r="AN417">
        <v>0.34100000000000003</v>
      </c>
      <c r="AO417">
        <v>0.26900000000000002</v>
      </c>
      <c r="AP417">
        <v>0.112</v>
      </c>
      <c r="AQ417">
        <v>4.7E-2</v>
      </c>
      <c r="AR417">
        <v>5.3999999999999999E-2</v>
      </c>
      <c r="AS417">
        <v>0.19500000000000001</v>
      </c>
      <c r="AT417">
        <v>0.28699999999999998</v>
      </c>
      <c r="AU417">
        <v>0.38700000000000001</v>
      </c>
      <c r="AV417">
        <v>0.28299999999999997</v>
      </c>
      <c r="AW417">
        <v>0.437</v>
      </c>
      <c r="AX417">
        <v>0.42699999999999999</v>
      </c>
      <c r="AY417">
        <v>0.442</v>
      </c>
      <c r="BD4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100.3379264080573</v>
      </c>
      <c r="BE4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173.01671767723661</v>
      </c>
      <c r="BF4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291.89214955071208</v>
      </c>
      <c r="BG4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414.88702708316941</v>
      </c>
      <c r="BH4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510.81126171374621</v>
      </c>
      <c r="BI4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529.64301329766317</v>
      </c>
      <c r="BJ4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538.17615073412549</v>
      </c>
      <c r="BK4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465.20311334644748</v>
      </c>
      <c r="BL4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326.61319153355896</v>
      </c>
      <c r="BM4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209.79748248957429</v>
      </c>
      <c r="BN4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97.101219104571584</v>
      </c>
      <c r="BO4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82.094667061137784</v>
      </c>
      <c r="BP417">
        <f>SUM(Таб[[#This Row],[1]:[12]])</f>
        <v>3739.5739200000007</v>
      </c>
    </row>
    <row r="418" spans="2:68" ht="51">
      <c r="B418" t="s">
        <v>384</v>
      </c>
      <c r="C418" t="str">
        <f>IFERROR(VLOOKUP(Таб[[#This Row],[Зелений Тариф ЕЦ]],Sheet6!$H$9:$I$29,2,FALSE),"")</f>
        <v>Земля</v>
      </c>
      <c r="D418" t="s">
        <v>3359</v>
      </c>
      <c r="E418" t="s">
        <v>3385</v>
      </c>
      <c r="F418" t="s">
        <v>3287</v>
      </c>
      <c r="G418" s="1" t="s">
        <v>1099</v>
      </c>
      <c r="H418" t="s">
        <v>98</v>
      </c>
      <c r="J418" s="7">
        <v>1.0820000000000001</v>
      </c>
      <c r="K418" s="8"/>
      <c r="L418" s="8">
        <v>41501</v>
      </c>
      <c r="M418">
        <v>8</v>
      </c>
      <c r="N418" s="49" t="s">
        <v>60</v>
      </c>
      <c r="O418">
        <v>2013</v>
      </c>
      <c r="P418">
        <v>0.33929999999999999</v>
      </c>
      <c r="Q418" s="10"/>
      <c r="R418" s="11">
        <f>ROUND(Таб[[#This Row],[Зелений Тариф ЕЦ]]+Таб[[#This Row],[Зелений Тариф ЕЦ]]*Таб[[#This Row],[% надбавки]],4)</f>
        <v>0.33929999999999999</v>
      </c>
      <c r="S418" s="12"/>
      <c r="T418">
        <v>0.04</v>
      </c>
      <c r="U418">
        <v>6.7000000000000004E-2</v>
      </c>
      <c r="V418">
        <v>7.8E-2</v>
      </c>
      <c r="W418">
        <v>0.11499999999999999</v>
      </c>
      <c r="X418">
        <v>0.13400000000000001</v>
      </c>
      <c r="Y418">
        <v>0.14899999999999997</v>
      </c>
      <c r="Z418">
        <v>0.15000000000000002</v>
      </c>
      <c r="AA418">
        <v>0.14700000000000002</v>
      </c>
      <c r="AB418">
        <v>9.4999999999999973E-2</v>
      </c>
      <c r="AC418">
        <v>7.1000000000000063E-2</v>
      </c>
      <c r="AD418">
        <v>4.0999999999999925E-2</v>
      </c>
      <c r="AE418">
        <v>1.8000000000000016E-2</v>
      </c>
      <c r="AF418">
        <v>3.3000000000000002E-2</v>
      </c>
      <c r="AG418">
        <v>2.5999999999999999E-2</v>
      </c>
      <c r="AH418">
        <v>8.5999999999999993E-2</v>
      </c>
      <c r="AI418">
        <v>0.13600000000000001</v>
      </c>
      <c r="AJ418">
        <v>0.14799999999999999</v>
      </c>
      <c r="AK418">
        <v>0.121</v>
      </c>
      <c r="AL418">
        <v>0.122</v>
      </c>
      <c r="AM418">
        <v>0.13400000000000001</v>
      </c>
      <c r="AN418">
        <v>0.107</v>
      </c>
      <c r="AO418">
        <v>8.5999999999999993E-2</v>
      </c>
      <c r="AP418">
        <v>3.5000000000000003E-2</v>
      </c>
      <c r="AQ418">
        <v>1.4999999999999999E-2</v>
      </c>
      <c r="AR418">
        <v>1.6E-2</v>
      </c>
      <c r="AS418">
        <v>6.6000000000000003E-2</v>
      </c>
      <c r="AT418">
        <v>0.10100000000000001</v>
      </c>
      <c r="AU418">
        <v>0.128</v>
      </c>
      <c r="AV418">
        <v>9.9000000000000005E-2</v>
      </c>
      <c r="AW418">
        <v>0.156</v>
      </c>
      <c r="AX418">
        <v>0.14099999999999999</v>
      </c>
      <c r="AY418">
        <v>0.14799999999999999</v>
      </c>
      <c r="BD4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34.841346718073808</v>
      </c>
      <c r="BE4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60.078333930285631</v>
      </c>
      <c r="BF4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101.35664499803289</v>
      </c>
      <c r="BG4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144.06539258792984</v>
      </c>
      <c r="BH4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177.37412874655757</v>
      </c>
      <c r="BI4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183.91326713352743</v>
      </c>
      <c r="BJ4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186.87631421512316</v>
      </c>
      <c r="BK4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161.53715296561495</v>
      </c>
      <c r="BL4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113.41318139900861</v>
      </c>
      <c r="BM4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72.850088592336135</v>
      </c>
      <c r="BN4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33.717432307813368</v>
      </c>
      <c r="BO4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28.506556405696756</v>
      </c>
      <c r="BP418">
        <f>SUM(Таб[[#This Row],[1]:[12]])</f>
        <v>1298.5298400000001</v>
      </c>
    </row>
    <row r="419" spans="2:68" ht="51">
      <c r="B419" t="s">
        <v>384</v>
      </c>
      <c r="C419" t="str">
        <f>IFERROR(VLOOKUP(Таб[[#This Row],[Зелений Тариф ЕЦ]],Sheet6!$H$9:$I$29,2,FALSE),"")</f>
        <v>Земля</v>
      </c>
      <c r="D419" t="s">
        <v>3359</v>
      </c>
      <c r="E419" t="s">
        <v>3385</v>
      </c>
      <c r="F419" t="s">
        <v>3287</v>
      </c>
      <c r="G419" s="1" t="s">
        <v>1099</v>
      </c>
      <c r="H419" t="s">
        <v>98</v>
      </c>
      <c r="J419" s="7">
        <v>4</v>
      </c>
      <c r="K419" s="8"/>
      <c r="L419" s="8">
        <v>42362</v>
      </c>
      <c r="M419">
        <v>12</v>
      </c>
      <c r="N419" s="49" t="s">
        <v>71</v>
      </c>
      <c r="O419">
        <v>2015</v>
      </c>
      <c r="P419">
        <v>0.1696</v>
      </c>
      <c r="Q419" s="10"/>
      <c r="R419" s="11">
        <f>ROUND(Таб[[#This Row],[Зелений Тариф ЕЦ]]+Таб[[#This Row],[Зелений Тариф ЕЦ]]*Таб[[#This Row],[% надбавки]],4)</f>
        <v>0.1696</v>
      </c>
      <c r="S419" s="12"/>
      <c r="T419">
        <v>5.6000000000000001E-2</v>
      </c>
      <c r="U419">
        <v>6.6000000000000003E-2</v>
      </c>
      <c r="V419">
        <v>0.13100000000000001</v>
      </c>
      <c r="W419">
        <v>0.17099999999999999</v>
      </c>
      <c r="X419">
        <v>0.17599999999999999</v>
      </c>
      <c r="Y419">
        <v>0.20400000000000007</v>
      </c>
      <c r="Z419">
        <v>0.19499999999999995</v>
      </c>
      <c r="AA419">
        <v>0.18400000000000005</v>
      </c>
      <c r="AB419">
        <v>0.14900000000000002</v>
      </c>
      <c r="AC419">
        <v>6.7999999999999838E-2</v>
      </c>
      <c r="AD419">
        <v>3.5000000000000142E-2</v>
      </c>
      <c r="AE419">
        <v>3.0310000000000001</v>
      </c>
      <c r="AF419">
        <v>0.158</v>
      </c>
      <c r="AG419">
        <v>0.13600000000000001</v>
      </c>
      <c r="AH419">
        <v>0.38200000000000001</v>
      </c>
      <c r="AI419">
        <v>0.52700000000000002</v>
      </c>
      <c r="AJ419">
        <v>0.59499999999999997</v>
      </c>
      <c r="AK419">
        <v>0.48899999999999999</v>
      </c>
      <c r="AL419">
        <v>0.503</v>
      </c>
      <c r="AM419">
        <v>0.54700000000000004</v>
      </c>
      <c r="AN419">
        <v>0.442</v>
      </c>
      <c r="AO419">
        <v>0.38300000000000001</v>
      </c>
      <c r="AP419">
        <v>0.187</v>
      </c>
      <c r="AQ419">
        <v>8.4000000000000005E-2</v>
      </c>
      <c r="AR419">
        <v>8.1000000000000003E-2</v>
      </c>
      <c r="AS419">
        <v>0.29699999999999999</v>
      </c>
      <c r="AT419">
        <v>0.39800000000000002</v>
      </c>
      <c r="AU419">
        <v>0.52400000000000002</v>
      </c>
      <c r="AV419">
        <v>0.39100000000000001</v>
      </c>
      <c r="AW419">
        <v>0.61</v>
      </c>
      <c r="AX419">
        <v>0.55600000000000005</v>
      </c>
      <c r="AY419">
        <v>0.56200000000000006</v>
      </c>
      <c r="BD4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128.80349988197344</v>
      </c>
      <c r="BE4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222.10104964985442</v>
      </c>
      <c r="BF4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374.7010905657408</v>
      </c>
      <c r="BG4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532.58925171138571</v>
      </c>
      <c r="BH4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655.72690849004641</v>
      </c>
      <c r="BI4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679.90117239751362</v>
      </c>
      <c r="BJ4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690.85513573058461</v>
      </c>
      <c r="BK4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597.17986308914942</v>
      </c>
      <c r="BL4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419.27238964513344</v>
      </c>
      <c r="BM4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269.31640884412616</v>
      </c>
      <c r="BN4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124.64854827287749</v>
      </c>
      <c r="BO4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105.38468172161461</v>
      </c>
      <c r="BP419">
        <f>SUM(Таб[[#This Row],[1]:[12]])</f>
        <v>4800.4800000000005</v>
      </c>
    </row>
    <row r="420" spans="2:68" ht="38.25">
      <c r="B420" t="s">
        <v>384</v>
      </c>
      <c r="C420" t="str">
        <f>IFERROR(VLOOKUP(Таб[[#This Row],[Зелений Тариф ЕЦ]],Sheet6!$H$9:$I$29,2,FALSE),"")</f>
        <v>Земля</v>
      </c>
      <c r="G420" s="1" t="s">
        <v>1103</v>
      </c>
      <c r="H420" t="s">
        <v>233</v>
      </c>
      <c r="J420" s="7">
        <v>1.7330000000000001</v>
      </c>
      <c r="K420" s="8"/>
      <c r="L420" s="8">
        <v>43508</v>
      </c>
      <c r="M420">
        <v>2</v>
      </c>
      <c r="N420" s="49" t="s">
        <v>67</v>
      </c>
      <c r="O420">
        <v>2019</v>
      </c>
      <c r="P420">
        <v>0.15029999999999999</v>
      </c>
      <c r="Q420" s="10"/>
      <c r="R420" s="11">
        <f>ROUND(Таб[[#This Row],[Зелений Тариф ЕЦ]]+Таб[[#This Row],[Зелений Тариф ЕЦ]]*Таб[[#This Row],[% надбавки]],4)</f>
        <v>0.15029999999999999</v>
      </c>
      <c r="S420" s="12"/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3.3000000000000002E-2</v>
      </c>
      <c r="AS420">
        <v>0.121</v>
      </c>
      <c r="AT420">
        <v>0.20499999999999999</v>
      </c>
      <c r="AU420">
        <v>0.24399999999999999</v>
      </c>
      <c r="AV420">
        <v>0.192</v>
      </c>
      <c r="AW420">
        <v>0.30199999999999999</v>
      </c>
      <c r="AX420">
        <v>0.28899999999999998</v>
      </c>
      <c r="AY420">
        <v>0.27300000000000002</v>
      </c>
      <c r="BD4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55.804116323864989</v>
      </c>
      <c r="BE4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96.225279760799452</v>
      </c>
      <c r="BF4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162.3392474876072</v>
      </c>
      <c r="BG4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230.74429330395782</v>
      </c>
      <c r="BH4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284.09368310331263</v>
      </c>
      <c r="BI4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294.56718294122277</v>
      </c>
      <c r="BJ4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299.31298755527581</v>
      </c>
      <c r="BK4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258.72817568337405</v>
      </c>
      <c r="BL4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181.64976281375405</v>
      </c>
      <c r="BM4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116.68133413171769</v>
      </c>
      <c r="BN4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54.00398353922418</v>
      </c>
      <c r="BO4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45.657913355889534</v>
      </c>
      <c r="BP420">
        <f>SUM(Таб[[#This Row],[1]:[12]])</f>
        <v>2079.8079600000001</v>
      </c>
    </row>
    <row r="421" spans="2:68" ht="25.5">
      <c r="B421" t="s">
        <v>384</v>
      </c>
      <c r="C421" t="str">
        <f>IFERROR(VLOOKUP(Таб[[#This Row],[Зелений Тариф ЕЦ]],Sheet6!$H$9:$I$29,2,FALSE),"")</f>
        <v>Земля</v>
      </c>
      <c r="D421" t="s">
        <v>3362</v>
      </c>
      <c r="F421" t="s">
        <v>3287</v>
      </c>
      <c r="G421" s="1" t="s">
        <v>1106</v>
      </c>
      <c r="H421" t="s">
        <v>82</v>
      </c>
      <c r="J421" s="7">
        <v>20.463000000000001</v>
      </c>
      <c r="K421" s="8"/>
      <c r="L421" s="8">
        <v>43522</v>
      </c>
      <c r="M421">
        <v>2</v>
      </c>
      <c r="N421" s="49" t="s">
        <v>67</v>
      </c>
      <c r="O421">
        <v>2019</v>
      </c>
      <c r="P421">
        <v>0.15029999999999999</v>
      </c>
      <c r="Q421" s="10"/>
      <c r="R421" s="11">
        <f>ROUND(Таб[[#This Row],[Зелений Тариф ЕЦ]]+Таб[[#This Row],[Зелений Тариф ЕЦ]]*Таб[[#This Row],[% надбавки]],4)</f>
        <v>0.15029999999999999</v>
      </c>
      <c r="S421" s="12"/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1.552</v>
      </c>
      <c r="AU421">
        <v>2.8260000000000001</v>
      </c>
      <c r="AV421">
        <v>2.75</v>
      </c>
      <c r="AW421">
        <v>2.855</v>
      </c>
      <c r="AX421">
        <v>3.149</v>
      </c>
      <c r="AY421">
        <v>3.0539999999999998</v>
      </c>
      <c r="BD4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658.92650452120563</v>
      </c>
      <c r="BE4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1136.2134447462429</v>
      </c>
      <c r="BF4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1916.8771040616889</v>
      </c>
      <c r="BG4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2724.5934644425211</v>
      </c>
      <c r="BH4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3354.5349321079552</v>
      </c>
      <c r="BI4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3478.20442269258</v>
      </c>
      <c r="BJ4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3534.2421606137386</v>
      </c>
      <c r="BK4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3055.0228845983165</v>
      </c>
      <c r="BL4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2144.8927273270915</v>
      </c>
      <c r="BM4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1377.7554185443387</v>
      </c>
      <c r="BN4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637.67081082697314</v>
      </c>
      <c r="BO4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539.12168551734999</v>
      </c>
      <c r="BP421">
        <f>SUM(Таб[[#This Row],[1]:[12]])</f>
        <v>24558.055560000012</v>
      </c>
    </row>
    <row r="422" spans="2:68" ht="25.5">
      <c r="B422" t="s">
        <v>384</v>
      </c>
      <c r="C422" t="str">
        <f>IFERROR(VLOOKUP(Таб[[#This Row],[Зелений Тариф ЕЦ]],Sheet6!$H$9:$I$29,2,FALSE),"")</f>
        <v>Земля</v>
      </c>
      <c r="D422" t="s">
        <v>3403</v>
      </c>
      <c r="E422" t="s">
        <v>3404</v>
      </c>
      <c r="F422" t="s">
        <v>3287</v>
      </c>
      <c r="G422" s="1" t="s">
        <v>1109</v>
      </c>
      <c r="H422" t="s">
        <v>198</v>
      </c>
      <c r="J422" s="7">
        <v>11.595000000000001</v>
      </c>
      <c r="K422" s="8"/>
      <c r="L422" s="8">
        <v>43494</v>
      </c>
      <c r="M422">
        <v>1</v>
      </c>
      <c r="N422" s="49" t="s">
        <v>67</v>
      </c>
      <c r="O422">
        <v>2019</v>
      </c>
      <c r="P422">
        <v>0.15029999999999999</v>
      </c>
      <c r="Q422" s="10"/>
      <c r="R422" s="11">
        <f>ROUND(Таб[[#This Row],[Зелений Тариф ЕЦ]]+Таб[[#This Row],[Зелений Тариф ЕЦ]]*Таб[[#This Row],[% надбавки]],4)</f>
        <v>0.15029999999999999</v>
      </c>
      <c r="S422" s="12"/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0.42699999999999999</v>
      </c>
      <c r="AT422">
        <v>1.08</v>
      </c>
      <c r="AU422">
        <v>1.4870000000000001</v>
      </c>
      <c r="AV422">
        <v>1.5780000000000001</v>
      </c>
      <c r="AW422">
        <v>2.004</v>
      </c>
      <c r="AX422">
        <v>1.8160000000000001</v>
      </c>
      <c r="AY422">
        <v>1.8420000000000001</v>
      </c>
      <c r="BD4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373.36914528287048</v>
      </c>
      <c r="BE4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643.81541767251565</v>
      </c>
      <c r="BF4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1086.1647862774412</v>
      </c>
      <c r="BG4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1543.8430933983791</v>
      </c>
      <c r="BH4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1900.7883759855222</v>
      </c>
      <c r="BI4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1970.8635234872927</v>
      </c>
      <c r="BJ4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2002.6163246990325</v>
      </c>
      <c r="BK4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1731.0751281296721</v>
      </c>
      <c r="BL4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1215.3658394838305</v>
      </c>
      <c r="BM4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780.68094013691075</v>
      </c>
      <c r="BN4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361.32497930600368</v>
      </c>
      <c r="BO4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305.48384614053032</v>
      </c>
      <c r="BP422">
        <f>SUM(Таб[[#This Row],[1]:[12]])</f>
        <v>13915.391400000002</v>
      </c>
    </row>
    <row r="423" spans="2:68" ht="25.5">
      <c r="B423" t="s">
        <v>384</v>
      </c>
      <c r="C423" t="str">
        <f>IFERROR(VLOOKUP(Таб[[#This Row],[Зелений Тариф ЕЦ]],Sheet6!$H$9:$I$29,2,FALSE),"")</f>
        <v>Земля</v>
      </c>
      <c r="D423" t="s">
        <v>3403</v>
      </c>
      <c r="E423" t="s">
        <v>3404</v>
      </c>
      <c r="F423" t="s">
        <v>3287</v>
      </c>
      <c r="G423" s="1" t="s">
        <v>1112</v>
      </c>
      <c r="H423" t="s">
        <v>198</v>
      </c>
      <c r="J423" s="7">
        <v>11.411</v>
      </c>
      <c r="K423" s="8"/>
      <c r="L423" s="8">
        <v>43476</v>
      </c>
      <c r="M423">
        <v>1</v>
      </c>
      <c r="N423" s="49" t="s">
        <v>67</v>
      </c>
      <c r="O423">
        <v>2019</v>
      </c>
      <c r="P423">
        <v>0.15029999999999999</v>
      </c>
      <c r="Q423" s="10"/>
      <c r="R423" s="11">
        <f>ROUND(Таб[[#This Row],[Зелений Тариф ЕЦ]]+Таб[[#This Row],[Зелений Тариф ЕЦ]]*Таб[[#This Row],[% надбавки]],4)</f>
        <v>0.15029999999999999</v>
      </c>
      <c r="S423" s="12"/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0.309</v>
      </c>
      <c r="AT423">
        <v>0.9</v>
      </c>
      <c r="AU423">
        <v>1.2649999999999999</v>
      </c>
      <c r="AV423">
        <v>1.546</v>
      </c>
      <c r="AW423">
        <v>2.0219999999999998</v>
      </c>
      <c r="AX423">
        <v>1.804</v>
      </c>
      <c r="AY423">
        <v>1.8540000000000001</v>
      </c>
      <c r="BD4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367.44418428829965</v>
      </c>
      <c r="BE4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633.59876938862226</v>
      </c>
      <c r="BF4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1068.9285361114171</v>
      </c>
      <c r="BG4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1519.3439878196552</v>
      </c>
      <c r="BH4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1870.6249381949799</v>
      </c>
      <c r="BI4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1939.5880695570067</v>
      </c>
      <c r="BJ4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1970.8369884554254</v>
      </c>
      <c r="BK4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1703.6048544275709</v>
      </c>
      <c r="BL4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1196.0793095601543</v>
      </c>
      <c r="BM4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768.29238533008095</v>
      </c>
      <c r="BN4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355.59114608545133</v>
      </c>
      <c r="BO4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300.63615078133603</v>
      </c>
      <c r="BP423">
        <f>SUM(Таб[[#This Row],[1]:[12]])</f>
        <v>13694.569320000002</v>
      </c>
    </row>
    <row r="424" spans="2:68" ht="25.5">
      <c r="B424" t="s">
        <v>384</v>
      </c>
      <c r="C424" t="str">
        <f>IFERROR(VLOOKUP(Таб[[#This Row],[Зелений Тариф ЕЦ]],Sheet6!$H$9:$I$29,2,FALSE),"")</f>
        <v>Земля</v>
      </c>
      <c r="D424" t="s">
        <v>3403</v>
      </c>
      <c r="E424" t="s">
        <v>3404</v>
      </c>
      <c r="F424" t="s">
        <v>3287</v>
      </c>
      <c r="G424" s="1" t="s">
        <v>1114</v>
      </c>
      <c r="H424" t="s">
        <v>198</v>
      </c>
      <c r="J424" s="7">
        <v>10.864000000000001</v>
      </c>
      <c r="K424" s="8"/>
      <c r="L424" s="8">
        <v>43403</v>
      </c>
      <c r="M424">
        <v>10</v>
      </c>
      <c r="N424" s="49" t="s">
        <v>71</v>
      </c>
      <c r="O424">
        <v>2018</v>
      </c>
      <c r="P424">
        <v>0.15029999999999999</v>
      </c>
      <c r="Q424" s="10">
        <v>0.05</v>
      </c>
      <c r="R424" s="11">
        <f>ROUND(Таб[[#This Row],[Зелений Тариф ЕЦ]]+Таб[[#This Row],[Зелений Тариф ЕЦ]]*Таб[[#This Row],[% надбавки]],4)</f>
        <v>0.1578</v>
      </c>
      <c r="S424" s="12">
        <v>43455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0.28499999999999998</v>
      </c>
      <c r="AQ424">
        <v>0.11799999999999999</v>
      </c>
      <c r="AR424">
        <v>9.9000000000000005E-2</v>
      </c>
      <c r="AS424">
        <v>0.53600000000000003</v>
      </c>
      <c r="AT424">
        <v>1.0329999999999999</v>
      </c>
      <c r="AU424">
        <v>1.3939999999999999</v>
      </c>
      <c r="AV424">
        <v>1.5629999999999999</v>
      </c>
      <c r="AW424">
        <v>1.849</v>
      </c>
      <c r="AX424">
        <v>1.7250000000000001</v>
      </c>
      <c r="AY424">
        <v>1.716</v>
      </c>
      <c r="BD4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349.83030567943979</v>
      </c>
      <c r="BE4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603.22645084900478</v>
      </c>
      <c r="BF4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1017.6881619765522</v>
      </c>
      <c r="BG4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1446.5124076481234</v>
      </c>
      <c r="BH4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1780.9542834589661</v>
      </c>
      <c r="BI4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1846.6115842316472</v>
      </c>
      <c r="BJ4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1876.3625486442679</v>
      </c>
      <c r="BK4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1621.94050815013</v>
      </c>
      <c r="BL4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1138.7438102761823</v>
      </c>
      <c r="BM4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731.46336642064682</v>
      </c>
      <c r="BN4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338.54545710913533</v>
      </c>
      <c r="BO4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286.2247955559053</v>
      </c>
      <c r="BP424">
        <f>SUM(Таб[[#This Row],[1]:[12]])</f>
        <v>13038.10368</v>
      </c>
    </row>
    <row r="425" spans="2:68" ht="25.5">
      <c r="B425" t="s">
        <v>384</v>
      </c>
      <c r="C425" t="str">
        <f>IFERROR(VLOOKUP(Таб[[#This Row],[Зелений Тариф ЕЦ]],Sheet6!$H$9:$I$29,2,FALSE),"")</f>
        <v>Земля</v>
      </c>
      <c r="D425" t="s">
        <v>3365</v>
      </c>
      <c r="E425" t="s">
        <v>3363</v>
      </c>
      <c r="F425" t="s">
        <v>3364</v>
      </c>
      <c r="G425" s="1" t="s">
        <v>1117</v>
      </c>
      <c r="H425" t="s">
        <v>136</v>
      </c>
      <c r="J425" s="7">
        <v>15.606</v>
      </c>
      <c r="K425" s="8"/>
      <c r="L425" s="8">
        <v>43602</v>
      </c>
      <c r="M425">
        <v>5</v>
      </c>
      <c r="N425" s="49" t="s">
        <v>57</v>
      </c>
      <c r="O425">
        <v>2019</v>
      </c>
      <c r="P425">
        <v>0.15029999999999999</v>
      </c>
      <c r="Q425" s="10">
        <v>0.05</v>
      </c>
      <c r="R425" s="11">
        <f>ROUND(Таб[[#This Row],[Зелений Тариф ЕЦ]]+Таб[[#This Row],[Зелений Тариф ЕЦ]]*Таб[[#This Row],[% надбавки]],4)</f>
        <v>0.1578</v>
      </c>
      <c r="S425" s="12">
        <v>43671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2.2269999999999999</v>
      </c>
      <c r="AX425">
        <v>2.5449999999999999</v>
      </c>
      <c r="AY425">
        <v>2.468</v>
      </c>
      <c r="BD4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502.52685478951935</v>
      </c>
      <c r="BE4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866.52724520890706</v>
      </c>
      <c r="BF4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1461.8963048422377</v>
      </c>
      <c r="BG4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2077.8969655519713</v>
      </c>
      <c r="BH4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2558.318533473916</v>
      </c>
      <c r="BI4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2652.6344241088996</v>
      </c>
      <c r="BJ4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2695.371312052876</v>
      </c>
      <c r="BK4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2329.8972358423161</v>
      </c>
      <c r="BL4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1635.7912282004879</v>
      </c>
      <c r="BM4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1050.7379691053584</v>
      </c>
      <c r="BN4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486.31631108663157</v>
      </c>
      <c r="BO4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411.15833573687939</v>
      </c>
      <c r="BP425">
        <f>SUM(Таб[[#This Row],[1]:[12]])</f>
        <v>18729.072719999996</v>
      </c>
    </row>
    <row r="426" spans="2:68" ht="25.5">
      <c r="B426" t="s">
        <v>384</v>
      </c>
      <c r="C426" t="str">
        <f>IFERROR(VLOOKUP(Таб[[#This Row],[Зелений Тариф ЕЦ]],Sheet6!$H$9:$I$29,2,FALSE),"")</f>
        <v>Земля</v>
      </c>
      <c r="D426" t="s">
        <v>3365</v>
      </c>
      <c r="E426" t="s">
        <v>3363</v>
      </c>
      <c r="F426" t="s">
        <v>3364</v>
      </c>
      <c r="G426" s="1" t="s">
        <v>1120</v>
      </c>
      <c r="H426" t="s">
        <v>136</v>
      </c>
      <c r="J426" s="7">
        <v>12.999000000000001</v>
      </c>
      <c r="K426" s="8"/>
      <c r="L426" s="8">
        <v>43602</v>
      </c>
      <c r="M426">
        <v>5</v>
      </c>
      <c r="N426" s="49" t="s">
        <v>57</v>
      </c>
      <c r="O426">
        <v>2019</v>
      </c>
      <c r="P426">
        <v>0.15029999999999999</v>
      </c>
      <c r="Q426" s="10">
        <v>0.05</v>
      </c>
      <c r="R426" s="11">
        <f>ROUND(Таб[[#This Row],[Зелений Тариф ЕЦ]]+Таб[[#This Row],[Зелений Тариф ЕЦ]]*Таб[[#This Row],[% надбавки]],4)</f>
        <v>0.1578</v>
      </c>
      <c r="S426" s="12">
        <v>43671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1.9950000000000001</v>
      </c>
      <c r="AX426">
        <v>2.1339999999999999</v>
      </c>
      <c r="AY426">
        <v>2.0579999999999998</v>
      </c>
      <c r="BD4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418.57917374144313</v>
      </c>
      <c r="BE4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721.77288609961442</v>
      </c>
      <c r="BF4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1217.6848690660163</v>
      </c>
      <c r="BG4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1730.7819207490754</v>
      </c>
      <c r="BH4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2130.9485208655287</v>
      </c>
      <c r="BI4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2209.50883499882</v>
      </c>
      <c r="BJ4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2245.1064773404673</v>
      </c>
      <c r="BK4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1940.6852600739637</v>
      </c>
      <c r="BL4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1362.5304482492725</v>
      </c>
      <c r="BM4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875.21099964119912</v>
      </c>
      <c r="BN4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405.07661974978373</v>
      </c>
      <c r="BO4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342.47386942481705</v>
      </c>
      <c r="BP426">
        <f>SUM(Таб[[#This Row],[1]:[12]])</f>
        <v>15600.359880000002</v>
      </c>
    </row>
    <row r="427" spans="2:68" ht="38.25">
      <c r="B427" t="s">
        <v>384</v>
      </c>
      <c r="C427" t="str">
        <f>IFERROR(VLOOKUP(Таб[[#This Row],[Зелений Тариф ЕЦ]],Sheet6!$H$9:$I$29,2,FALSE),"")</f>
        <v>Земля</v>
      </c>
      <c r="D427" s="138"/>
      <c r="E427" s="138"/>
      <c r="F427" s="138"/>
      <c r="G427" s="1" t="s">
        <v>1123</v>
      </c>
      <c r="H427" t="s">
        <v>65</v>
      </c>
      <c r="J427" s="7">
        <v>1.04</v>
      </c>
      <c r="K427" s="8"/>
      <c r="L427" s="8">
        <v>43396</v>
      </c>
      <c r="M427">
        <v>10</v>
      </c>
      <c r="N427" s="49" t="s">
        <v>71</v>
      </c>
      <c r="O427">
        <v>2018</v>
      </c>
      <c r="P427">
        <v>0.15029999999999999</v>
      </c>
      <c r="Q427" s="10"/>
      <c r="R427" s="11">
        <f>ROUND(Таб[[#This Row],[Зелений Тариф ЕЦ]]+Таб[[#This Row],[Зелений Тариф ЕЦ]]*Таб[[#This Row],[% надбавки]],4)</f>
        <v>0.15029999999999999</v>
      </c>
      <c r="S427" s="12"/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3.1E-2</v>
      </c>
      <c r="AQ427">
        <v>8.0000000000000002E-3</v>
      </c>
      <c r="AR427">
        <v>1.2E-2</v>
      </c>
      <c r="AS427">
        <v>6.9000000000000006E-2</v>
      </c>
      <c r="AT427">
        <v>6.7000000000000004E-2</v>
      </c>
      <c r="AU427">
        <v>0.122</v>
      </c>
      <c r="AV427">
        <v>9.9000000000000005E-2</v>
      </c>
      <c r="AW427">
        <v>0.13600000000000001</v>
      </c>
      <c r="AX427">
        <v>0.152</v>
      </c>
      <c r="AY427">
        <v>0.154</v>
      </c>
      <c r="BD4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33.488909969313099</v>
      </c>
      <c r="BE4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57.746272908962155</v>
      </c>
      <c r="BF4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97.422283547092604</v>
      </c>
      <c r="BG4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138.47320544496029</v>
      </c>
      <c r="BH4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170.48899620741207</v>
      </c>
      <c r="BI4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176.77430482335353</v>
      </c>
      <c r="BJ4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179.62233528995199</v>
      </c>
      <c r="BK4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155.26676440317885</v>
      </c>
      <c r="BL4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109.01082130773469</v>
      </c>
      <c r="BM4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70.022266299472818</v>
      </c>
      <c r="BN4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32.408622550948152</v>
      </c>
      <c r="BO4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27.4000172476198</v>
      </c>
      <c r="BP427">
        <f>SUM(Таб[[#This Row],[1]:[12]])</f>
        <v>1248.1248000000003</v>
      </c>
    </row>
    <row r="428" spans="2:68">
      <c r="B428" t="s">
        <v>384</v>
      </c>
      <c r="C428" t="str">
        <f>IFERROR(VLOOKUP(Таб[[#This Row],[Зелений Тариф ЕЦ]],Sheet6!$H$9:$I$29,2,FALSE),"")</f>
        <v>Земля</v>
      </c>
      <c r="D428" t="s">
        <v>3362</v>
      </c>
      <c r="F428" t="s">
        <v>3287</v>
      </c>
      <c r="G428" t="s">
        <v>3353</v>
      </c>
      <c r="H428" t="s">
        <v>73</v>
      </c>
      <c r="J428" s="7">
        <v>11.744999999999999</v>
      </c>
      <c r="K428" s="8"/>
      <c r="L428" s="8">
        <v>43616</v>
      </c>
      <c r="M428">
        <v>5</v>
      </c>
      <c r="N428" s="49" t="s">
        <v>57</v>
      </c>
      <c r="O428">
        <v>2019</v>
      </c>
      <c r="P428">
        <v>0.15029999999999999</v>
      </c>
      <c r="Q428" s="10">
        <v>0.05</v>
      </c>
      <c r="R428" s="11">
        <f>ROUND(Таб[[#This Row],[Зелений Тариф ЕЦ]]+Таб[[#This Row],[Зелений Тариф ЕЦ]]*Таб[[#This Row],[% надбавки]],4)</f>
        <v>0.1578</v>
      </c>
      <c r="S428" s="12">
        <v>43683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1.7589999999999999</v>
      </c>
      <c r="BD4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378.19927652844444</v>
      </c>
      <c r="BE4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652.14420703438509</v>
      </c>
      <c r="BF4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1100.2160771736562</v>
      </c>
      <c r="BG4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1563.815190337556</v>
      </c>
      <c r="BH4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1925.3781350538986</v>
      </c>
      <c r="BI4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1996.359817452199</v>
      </c>
      <c r="BJ4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2028.5233922889288</v>
      </c>
      <c r="BK4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1753.469372995515</v>
      </c>
      <c r="BL4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1231.088554095523</v>
      </c>
      <c r="BM4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790.78030546856553</v>
      </c>
      <c r="BN4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365.99929986623658</v>
      </c>
      <c r="BO4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309.43577170509087</v>
      </c>
      <c r="BP428">
        <f>SUM(Таб[[#This Row],[1]:[12]])</f>
        <v>14095.409399999999</v>
      </c>
    </row>
    <row r="429" spans="2:68" ht="38.25">
      <c r="B429" t="s">
        <v>384</v>
      </c>
      <c r="C429" t="str">
        <f>IFERROR(VLOOKUP(Таб[[#This Row],[Зелений Тариф ЕЦ]],Sheet6!$H$9:$I$29,2,FALSE),"")</f>
        <v>Земля</v>
      </c>
      <c r="G429" s="1" t="s">
        <v>1128</v>
      </c>
      <c r="H429" t="s">
        <v>107</v>
      </c>
      <c r="J429" s="7">
        <v>2.2799999999999998</v>
      </c>
      <c r="K429" s="8"/>
      <c r="L429" s="8">
        <v>43158</v>
      </c>
      <c r="M429">
        <v>2</v>
      </c>
      <c r="N429" s="49" t="s">
        <v>67</v>
      </c>
      <c r="O429">
        <v>2018</v>
      </c>
      <c r="P429">
        <v>0.15029999999999999</v>
      </c>
      <c r="Q429" s="10"/>
      <c r="R429" s="11">
        <f>ROUND(Таб[[#This Row],[Зелений Тариф ЕЦ]]+Таб[[#This Row],[Зелений Тариф ЕЦ]]*Таб[[#This Row],[% надбавки]],4)</f>
        <v>0.15029999999999999</v>
      </c>
      <c r="S429" s="12"/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0.111</v>
      </c>
      <c r="AI429">
        <v>0.33500000000000002</v>
      </c>
      <c r="AJ429">
        <v>0.40300000000000002</v>
      </c>
      <c r="AK429">
        <v>0.34899999999999998</v>
      </c>
      <c r="AL429">
        <v>0.32300000000000001</v>
      </c>
      <c r="AM429">
        <v>0.379</v>
      </c>
      <c r="AN429">
        <v>0.69</v>
      </c>
      <c r="AO429">
        <v>0.71499999999999997</v>
      </c>
      <c r="AP429">
        <v>0.19700000000000001</v>
      </c>
      <c r="AQ429">
        <v>2.5000000000000001E-2</v>
      </c>
      <c r="AR429">
        <v>5.3999999999999999E-2</v>
      </c>
      <c r="AS429">
        <v>0.34699999999999998</v>
      </c>
      <c r="AT429">
        <v>0.94299999999999995</v>
      </c>
      <c r="AU429">
        <v>1.4179999999999999</v>
      </c>
      <c r="AV429">
        <v>1.6259999999999999</v>
      </c>
      <c r="AW429">
        <v>1.98</v>
      </c>
      <c r="AX429">
        <v>1.8540000000000001</v>
      </c>
      <c r="AY429">
        <v>2.09</v>
      </c>
      <c r="BD4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73.417994932724852</v>
      </c>
      <c r="BE4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126.59759830041702</v>
      </c>
      <c r="BF4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213.57962162247225</v>
      </c>
      <c r="BG4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303.57587347548974</v>
      </c>
      <c r="BH4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373.7643378393264</v>
      </c>
      <c r="BI4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387.54366826658276</v>
      </c>
      <c r="BJ4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393.78742736643323</v>
      </c>
      <c r="BK4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340.3925219608152</v>
      </c>
      <c r="BL4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238.98526209772604</v>
      </c>
      <c r="BM4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153.51035304115192</v>
      </c>
      <c r="BN4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71.04967251554018</v>
      </c>
      <c r="BO4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60.069268581320316</v>
      </c>
      <c r="BP429">
        <f>SUM(Таб[[#This Row],[1]:[12]])</f>
        <v>2736.2736000000004</v>
      </c>
    </row>
    <row r="430" spans="2:68" ht="38.25">
      <c r="B430" t="s">
        <v>384</v>
      </c>
      <c r="C430" t="str">
        <f>IFERROR(VLOOKUP(Таб[[#This Row],[Зелений Тариф ЕЦ]],Sheet6!$H$9:$I$29,2,FALSE),"")</f>
        <v>Земля</v>
      </c>
      <c r="G430" s="1" t="s">
        <v>1128</v>
      </c>
      <c r="H430" t="s">
        <v>107</v>
      </c>
      <c r="J430" s="7">
        <v>2.2869999999999999</v>
      </c>
      <c r="K430" s="8"/>
      <c r="L430" s="8">
        <v>43277</v>
      </c>
      <c r="M430">
        <v>6</v>
      </c>
      <c r="N430" s="49" t="s">
        <v>57</v>
      </c>
      <c r="O430">
        <v>2018</v>
      </c>
      <c r="P430">
        <v>0.15029999999999999</v>
      </c>
      <c r="Q430" s="10"/>
      <c r="R430" s="11">
        <f>ROUND(Таб[[#This Row],[Зелений Тариф ЕЦ]]+Таб[[#This Row],[Зелений Тариф ЕЦ]]*Таб[[#This Row],[% надбавки]],4)</f>
        <v>0.15029999999999999</v>
      </c>
      <c r="S430" s="12"/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BD4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73.643401057518304</v>
      </c>
      <c r="BE4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126.98627513730429</v>
      </c>
      <c r="BF4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214.23534853096228</v>
      </c>
      <c r="BG4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304.50790466598471</v>
      </c>
      <c r="BH4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374.91185992918406</v>
      </c>
      <c r="BI4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388.73349531827836</v>
      </c>
      <c r="BJ4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394.9964238539618</v>
      </c>
      <c r="BK4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341.43758672122118</v>
      </c>
      <c r="BL4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239.71898877960501</v>
      </c>
      <c r="BM4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153.98165675662915</v>
      </c>
      <c r="BN4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71.267807475017705</v>
      </c>
      <c r="BO4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60.253691774333149</v>
      </c>
      <c r="BP430">
        <f>SUM(Таб[[#This Row],[1]:[12]])</f>
        <v>2744.6744399999998</v>
      </c>
    </row>
    <row r="431" spans="2:68" ht="38.25">
      <c r="B431" t="s">
        <v>384</v>
      </c>
      <c r="C431" t="str">
        <f>IFERROR(VLOOKUP(Таб[[#This Row],[Зелений Тариф ЕЦ]],Sheet6!$H$9:$I$29,2,FALSE),"")</f>
        <v>Земля</v>
      </c>
      <c r="G431" s="1" t="s">
        <v>1128</v>
      </c>
      <c r="H431" t="s">
        <v>107</v>
      </c>
      <c r="J431" s="7">
        <v>3.4359999999999999</v>
      </c>
      <c r="K431" s="8"/>
      <c r="L431" s="8">
        <v>43312</v>
      </c>
      <c r="M431">
        <v>7</v>
      </c>
      <c r="N431" s="49" t="s">
        <v>60</v>
      </c>
      <c r="O431">
        <v>2018</v>
      </c>
      <c r="P431">
        <v>0.15029999999999999</v>
      </c>
      <c r="Q431" s="10"/>
      <c r="R431" s="11">
        <f>ROUND(Таб[[#This Row],[Зелений Тариф ЕЦ]]+Таб[[#This Row],[Зелений Тариф ЕЦ]]*Таб[[#This Row],[% надбавки]],4)</f>
        <v>0.15029999999999999</v>
      </c>
      <c r="S431" s="12"/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BD4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110.64220639861517</v>
      </c>
      <c r="BE4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190.78480164922496</v>
      </c>
      <c r="BF4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321.86823679597131</v>
      </c>
      <c r="BG4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457.49416722008027</v>
      </c>
      <c r="BH4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563.2694143929499</v>
      </c>
      <c r="BI4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584.03510708946419</v>
      </c>
      <c r="BJ4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593.4445615925722</v>
      </c>
      <c r="BK4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512.97750239357947</v>
      </c>
      <c r="BL4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360.15498270516963</v>
      </c>
      <c r="BM4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231.34279519710438</v>
      </c>
      <c r="BN4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107.07310296640179</v>
      </c>
      <c r="BO4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90.525441598866948</v>
      </c>
      <c r="BP431">
        <f>SUM(Таб[[#This Row],[1]:[12]])</f>
        <v>4123.6123199999993</v>
      </c>
    </row>
    <row r="432" spans="2:68" ht="38.25">
      <c r="B432" t="s">
        <v>384</v>
      </c>
      <c r="C432" t="str">
        <f>IFERROR(VLOOKUP(Таб[[#This Row],[Зелений Тариф ЕЦ]],Sheet6!$H$9:$I$29,2,FALSE),"")</f>
        <v>Земля</v>
      </c>
      <c r="G432" s="1" t="s">
        <v>1128</v>
      </c>
      <c r="H432" t="s">
        <v>107</v>
      </c>
      <c r="J432" s="7">
        <v>3.4169999999999998</v>
      </c>
      <c r="K432" s="8"/>
      <c r="L432" s="8">
        <v>43508</v>
      </c>
      <c r="M432">
        <v>2</v>
      </c>
      <c r="N432" s="49" t="s">
        <v>67</v>
      </c>
      <c r="O432">
        <v>2019</v>
      </c>
      <c r="P432">
        <v>0.15029999999999999</v>
      </c>
      <c r="Q432" s="10"/>
      <c r="R432" s="11">
        <f>ROUND(Таб[[#This Row],[Зелений Тариф ЕЦ]]+Таб[[#This Row],[Зелений Тариф ЕЦ]]*Таб[[#This Row],[% надбавки]],4)</f>
        <v>0.15029999999999999</v>
      </c>
      <c r="S432" s="12"/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BD4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110.03038977417577</v>
      </c>
      <c r="BE4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189.72982166338812</v>
      </c>
      <c r="BF4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320.08840661578404</v>
      </c>
      <c r="BG4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454.9643682744512</v>
      </c>
      <c r="BH4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560.15471157762215</v>
      </c>
      <c r="BI4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580.80557652057587</v>
      </c>
      <c r="BJ4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590.16299969785189</v>
      </c>
      <c r="BK4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510.14089804390585</v>
      </c>
      <c r="BL4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358.16343885435521</v>
      </c>
      <c r="BM4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230.06354225509477</v>
      </c>
      <c r="BN4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106.48102236210561</v>
      </c>
      <c r="BO4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90.024864360689264</v>
      </c>
      <c r="BP432">
        <f>SUM(Таб[[#This Row],[1]:[12]])</f>
        <v>4100.8100400000003</v>
      </c>
    </row>
    <row r="433" spans="2:68" ht="38.25">
      <c r="B433" t="s">
        <v>384</v>
      </c>
      <c r="C433" t="str">
        <f>IFERROR(VLOOKUP(Таб[[#This Row],[Зелений Тариф ЕЦ]],Sheet6!$H$9:$I$29,2,FALSE),"")</f>
        <v>Земля</v>
      </c>
      <c r="G433" s="1" t="s">
        <v>1128</v>
      </c>
      <c r="H433" t="s">
        <v>107</v>
      </c>
      <c r="J433" s="7">
        <v>4.5810000000000004</v>
      </c>
      <c r="K433" s="8"/>
      <c r="L433" s="8">
        <v>43676</v>
      </c>
      <c r="M433">
        <v>7</v>
      </c>
      <c r="N433" s="49" t="s">
        <v>60</v>
      </c>
      <c r="O433">
        <v>2019</v>
      </c>
      <c r="P433">
        <v>0.15029999999999999</v>
      </c>
      <c r="Q433" s="10"/>
      <c r="R433" s="11">
        <f>ROUND(Таб[[#This Row],[Зелений Тариф ЕЦ]]+Таб[[#This Row],[Зелений Тариф ЕЦ]]*Таб[[#This Row],[% надбавки]],4)</f>
        <v>0.15029999999999999</v>
      </c>
      <c r="S433" s="12"/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BD4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147.51220823983007</v>
      </c>
      <c r="BE4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254.36122711149579</v>
      </c>
      <c r="BF4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429.12642397041463</v>
      </c>
      <c r="BG4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609.9478405224645</v>
      </c>
      <c r="BH4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750.97124194822584</v>
      </c>
      <c r="BI4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778.65681768825243</v>
      </c>
      <c r="BJ4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791.20184419545205</v>
      </c>
      <c r="BK4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683.9202382028484</v>
      </c>
      <c r="BL4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480.17170424108906</v>
      </c>
      <c r="BM4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308.43461722873553</v>
      </c>
      <c r="BN4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142.75374990951298</v>
      </c>
      <c r="BO4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120.69180674167913</v>
      </c>
      <c r="BP433">
        <f>SUM(Таб[[#This Row],[1]:[12]])</f>
        <v>5497.7497200000007</v>
      </c>
    </row>
    <row r="434" spans="2:68" ht="38.25">
      <c r="B434" t="s">
        <v>384</v>
      </c>
      <c r="C434" t="str">
        <f>IFERROR(VLOOKUP(Таб[[#This Row],[Зелений Тариф ЕЦ]],Sheet6!$H$9:$I$29,2,FALSE),"")</f>
        <v>Земля</v>
      </c>
      <c r="D434" t="s">
        <v>3405</v>
      </c>
      <c r="F434" t="s">
        <v>3287</v>
      </c>
      <c r="G434" s="1" t="s">
        <v>1139</v>
      </c>
      <c r="H434" t="s">
        <v>172</v>
      </c>
      <c r="J434" s="7">
        <v>11.864000000000001</v>
      </c>
      <c r="K434" s="8"/>
      <c r="L434" s="8">
        <v>43448</v>
      </c>
      <c r="M434">
        <v>12</v>
      </c>
      <c r="N434" s="49" t="s">
        <v>71</v>
      </c>
      <c r="O434">
        <v>2018</v>
      </c>
      <c r="P434">
        <v>0.15029999999999999</v>
      </c>
      <c r="Q434" s="10">
        <v>0.05</v>
      </c>
      <c r="R434" s="11">
        <f>ROUND(Таб[[#This Row],[Зелений Тариф ЕЦ]]+Таб[[#This Row],[Зелений Тариф ЕЦ]]*Таб[[#This Row],[% надбавки]],4)</f>
        <v>0.1578</v>
      </c>
      <c r="S434" s="12">
        <v>43455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0.23300000000000001</v>
      </c>
      <c r="AS434">
        <v>0.61499999999999999</v>
      </c>
      <c r="AT434">
        <v>1.165</v>
      </c>
      <c r="AU434">
        <v>1.6539999999999999</v>
      </c>
      <c r="AV434">
        <v>1.462</v>
      </c>
      <c r="AW434">
        <v>2.032</v>
      </c>
      <c r="AX434">
        <v>1.9470000000000001</v>
      </c>
      <c r="AY434">
        <v>1.8879999999999999</v>
      </c>
      <c r="BD4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382.03118064993316</v>
      </c>
      <c r="BE4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658.75171326146824</v>
      </c>
      <c r="BF4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1111.3634346179874</v>
      </c>
      <c r="BG4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1579.6597205759699</v>
      </c>
      <c r="BH4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1944.8860105814779</v>
      </c>
      <c r="BI4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2016.5868773310253</v>
      </c>
      <c r="BJ4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2049.0763325769144</v>
      </c>
      <c r="BK4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1771.2354739224174</v>
      </c>
      <c r="BL4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1243.5619076874659</v>
      </c>
      <c r="BM4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798.79246863167839</v>
      </c>
      <c r="BN4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369.70759417735474</v>
      </c>
      <c r="BO4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312.57096598630898</v>
      </c>
      <c r="BP434">
        <f>SUM(Таб[[#This Row],[1]:[12]])</f>
        <v>14238.223680000003</v>
      </c>
    </row>
    <row r="435" spans="2:68" ht="38.25">
      <c r="B435" t="s">
        <v>384</v>
      </c>
      <c r="C435" t="str">
        <f>IFERROR(VLOOKUP(Таб[[#This Row],[Зелений Тариф ЕЦ]],Sheet6!$H$9:$I$29,2,FALSE),"")</f>
        <v>Земля</v>
      </c>
      <c r="G435" s="1" t="s">
        <v>1141</v>
      </c>
      <c r="H435" t="s">
        <v>65</v>
      </c>
      <c r="J435" s="7">
        <v>5.7629999999999999</v>
      </c>
      <c r="K435" s="8"/>
      <c r="L435" s="8">
        <v>43522</v>
      </c>
      <c r="M435">
        <v>2</v>
      </c>
      <c r="N435" s="49" t="s">
        <v>67</v>
      </c>
      <c r="O435">
        <v>2019</v>
      </c>
      <c r="P435">
        <v>0.15029999999999999</v>
      </c>
      <c r="Q435" s="10"/>
      <c r="R435" s="11">
        <f>ROUND(Таб[[#This Row],[Зелений Тариф ЕЦ]]+Таб[[#This Row],[Зелений Тариф ЕЦ]]*Таб[[#This Row],[% надбавки]],4)</f>
        <v>0.15029999999999999</v>
      </c>
      <c r="S435" s="12"/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0.52600000000000002</v>
      </c>
      <c r="AU435">
        <v>0.7</v>
      </c>
      <c r="AV435">
        <v>0.61099999999999999</v>
      </c>
      <c r="AW435">
        <v>0.88800000000000001</v>
      </c>
      <c r="AX435">
        <v>0.89600000000000002</v>
      </c>
      <c r="AY435">
        <v>0.874</v>
      </c>
      <c r="BD4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185.57364245495319</v>
      </c>
      <c r="BE4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319.99208728302779</v>
      </c>
      <c r="BF4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539.85059623259099</v>
      </c>
      <c r="BG4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767.32796440317895</v>
      </c>
      <c r="BH4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944.7385434070344</v>
      </c>
      <c r="BI4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979.56761413171762</v>
      </c>
      <c r="BJ4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995.34953680383978</v>
      </c>
      <c r="BK4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860.38688774569209</v>
      </c>
      <c r="BL4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604.06669538122583</v>
      </c>
      <c r="BM4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388.01761604217472</v>
      </c>
      <c r="BN4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179.58739592414827</v>
      </c>
      <c r="BO4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151.83298019041624</v>
      </c>
      <c r="BP435">
        <f>SUM(Таб[[#This Row],[1]:[12]])</f>
        <v>6916.2915600000006</v>
      </c>
    </row>
    <row r="436" spans="2:68" ht="25.5">
      <c r="B436" t="s">
        <v>384</v>
      </c>
      <c r="C436" t="str">
        <f>IFERROR(VLOOKUP(Таб[[#This Row],[Зелений Тариф ЕЦ]],Sheet6!$H$9:$I$29,2,FALSE),"")</f>
        <v>Земля</v>
      </c>
      <c r="D436" s="138"/>
      <c r="E436" s="138"/>
      <c r="F436" s="138" t="s">
        <v>3287</v>
      </c>
      <c r="G436" s="1" t="s">
        <v>1143</v>
      </c>
      <c r="H436" t="s">
        <v>122</v>
      </c>
      <c r="J436" s="7">
        <v>2.16</v>
      </c>
      <c r="K436" s="8"/>
      <c r="L436" s="8">
        <v>42941</v>
      </c>
      <c r="M436">
        <v>7</v>
      </c>
      <c r="N436" s="49" t="s">
        <v>60</v>
      </c>
      <c r="O436">
        <v>2017</v>
      </c>
      <c r="P436">
        <v>0.15029999999999999</v>
      </c>
      <c r="Q436" s="10"/>
      <c r="R436" s="11">
        <f>ROUND(Таб[[#This Row],[Зелений Тариф ЕЦ]]+Таб[[#This Row],[Зелений Тариф ЕЦ]]*Таб[[#This Row],[% надбавки]],4)</f>
        <v>0.15029999999999999</v>
      </c>
      <c r="S436" s="12"/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0.29599999999999999</v>
      </c>
      <c r="AB436">
        <v>0.3</v>
      </c>
      <c r="AC436">
        <v>0.122</v>
      </c>
      <c r="AD436">
        <v>5.600000000000005E-2</v>
      </c>
      <c r="AE436">
        <v>3.0000000000000027E-2</v>
      </c>
      <c r="AF436">
        <v>3.5000000000000003E-2</v>
      </c>
      <c r="AG436">
        <v>9.7000000000000003E-2</v>
      </c>
      <c r="AH436">
        <v>0.19</v>
      </c>
      <c r="AI436">
        <v>0.32800000000000001</v>
      </c>
      <c r="AJ436">
        <v>0.36699999999999999</v>
      </c>
      <c r="AK436">
        <v>0.35499999999999998</v>
      </c>
      <c r="AL436">
        <v>0.31900000000000001</v>
      </c>
      <c r="AM436">
        <v>0.35699999999999998</v>
      </c>
      <c r="AN436">
        <v>0.24</v>
      </c>
      <c r="AO436">
        <v>0.22700000000000001</v>
      </c>
      <c r="AP436">
        <v>9.5000000000000001E-2</v>
      </c>
      <c r="AQ436">
        <v>3.3000000000000002E-2</v>
      </c>
      <c r="AR436">
        <v>1.7000000000000001E-2</v>
      </c>
      <c r="AS436">
        <v>9.9000000000000005E-2</v>
      </c>
      <c r="AT436">
        <v>0.222</v>
      </c>
      <c r="AU436">
        <v>0.308</v>
      </c>
      <c r="AV436">
        <v>0.32</v>
      </c>
      <c r="AW436">
        <v>0.35499999999999998</v>
      </c>
      <c r="AX436">
        <v>0.35799999999999998</v>
      </c>
      <c r="AY436">
        <v>0.32600000000000001</v>
      </c>
      <c r="BD4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69.553889936265648</v>
      </c>
      <c r="BE4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119.93456681092141</v>
      </c>
      <c r="BF4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202.33858890550005</v>
      </c>
      <c r="BG4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287.59819592414823</v>
      </c>
      <c r="BH4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354.09253058462508</v>
      </c>
      <c r="BI4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367.14663309465737</v>
      </c>
      <c r="BJ4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373.06177329451572</v>
      </c>
      <c r="BK4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322.47712606814071</v>
      </c>
      <c r="BL4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226.40709040837206</v>
      </c>
      <c r="BM4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145.43086077582814</v>
      </c>
      <c r="BN4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67.310216067353849</v>
      </c>
      <c r="BO4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56.907728129671888</v>
      </c>
      <c r="BP436">
        <f>SUM(Таб[[#This Row],[1]:[12]])</f>
        <v>2592.2592</v>
      </c>
    </row>
    <row r="437" spans="2:68" ht="25.5">
      <c r="B437" t="s">
        <v>384</v>
      </c>
      <c r="C437" t="str">
        <f>IFERROR(VLOOKUP(Таб[[#This Row],[Зелений Тариф ЕЦ]],Sheet6!$H$9:$I$29,2,FALSE),"")</f>
        <v>Земля</v>
      </c>
      <c r="D437" s="138"/>
      <c r="E437" s="138"/>
      <c r="F437" s="138" t="s">
        <v>3287</v>
      </c>
      <c r="G437" s="1" t="s">
        <v>1143</v>
      </c>
      <c r="H437" t="s">
        <v>122</v>
      </c>
      <c r="J437" s="7">
        <v>4.7160000000000002</v>
      </c>
      <c r="K437" s="8"/>
      <c r="L437" s="8">
        <v>43700</v>
      </c>
      <c r="M437">
        <v>8</v>
      </c>
      <c r="N437" s="49" t="s">
        <v>60</v>
      </c>
      <c r="O437">
        <v>2019</v>
      </c>
      <c r="P437">
        <v>0.15029999999999999</v>
      </c>
      <c r="Q437" s="10"/>
      <c r="R437" s="11">
        <f>ROUND(Таб[[#This Row],[Зелений Тариф ЕЦ]]+Таб[[#This Row],[Зелений Тариф ЕЦ]]*Таб[[#This Row],[% надбавки]],4)</f>
        <v>0.15029999999999999</v>
      </c>
      <c r="S437" s="12"/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0.04</v>
      </c>
      <c r="AS437">
        <v>0.108</v>
      </c>
      <c r="AT437">
        <v>0.224</v>
      </c>
      <c r="AU437">
        <v>0.32500000000000001</v>
      </c>
      <c r="AV437">
        <v>0.35799999999999998</v>
      </c>
      <c r="AW437">
        <v>0.40100000000000002</v>
      </c>
      <c r="AX437">
        <v>0.378</v>
      </c>
      <c r="AY437">
        <v>0.35699999999999998</v>
      </c>
      <c r="BD4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151.85932636084667</v>
      </c>
      <c r="BE4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261.8571375371784</v>
      </c>
      <c r="BF4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441.77258577700843</v>
      </c>
      <c r="BG4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627.9227277677237</v>
      </c>
      <c r="BH4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773.10202510976478</v>
      </c>
      <c r="BI4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801.60348225666849</v>
      </c>
      <c r="BJ4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814.51820502635928</v>
      </c>
      <c r="BK4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704.0750585821072</v>
      </c>
      <c r="BL4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494.3221473916123</v>
      </c>
      <c r="BM4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317.52404602722476</v>
      </c>
      <c r="BN4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146.96063841372259</v>
      </c>
      <c r="BO4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124.24853974978363</v>
      </c>
      <c r="BP437">
        <f>SUM(Таб[[#This Row],[1]:[12]])</f>
        <v>5659.7659199999998</v>
      </c>
    </row>
    <row r="438" spans="2:68" ht="51">
      <c r="B438" t="s">
        <v>384</v>
      </c>
      <c r="C438" t="str">
        <f>IFERROR(VLOOKUP(Таб[[#This Row],[Зелений Тариф ЕЦ]],Sheet6!$H$9:$I$29,2,FALSE),"")</f>
        <v>Земля</v>
      </c>
      <c r="D438" t="s">
        <v>3386</v>
      </c>
      <c r="E438" t="s">
        <v>3386</v>
      </c>
      <c r="F438" t="s">
        <v>3287</v>
      </c>
      <c r="G438" s="1" t="s">
        <v>1147</v>
      </c>
      <c r="H438" t="s">
        <v>98</v>
      </c>
      <c r="J438" s="7">
        <v>5.94</v>
      </c>
      <c r="K438" s="8"/>
      <c r="L438" s="8">
        <v>43396</v>
      </c>
      <c r="M438">
        <v>10</v>
      </c>
      <c r="N438" s="49" t="s">
        <v>71</v>
      </c>
      <c r="O438">
        <v>2018</v>
      </c>
      <c r="P438">
        <v>0.15029999999999999</v>
      </c>
      <c r="Q438" s="10"/>
      <c r="R438" s="11">
        <f>ROUND(Таб[[#This Row],[Зелений Тариф ЕЦ]]+Таб[[#This Row],[Зелений Тариф ЕЦ]]*Таб[[#This Row],[% надбавки]],4)</f>
        <v>0.15029999999999999</v>
      </c>
      <c r="S438" s="12"/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0.23799999999999999</v>
      </c>
      <c r="AQ438">
        <v>0.13900000000000001</v>
      </c>
      <c r="AR438">
        <v>0.184</v>
      </c>
      <c r="AS438">
        <v>0.76700000000000002</v>
      </c>
      <c r="AT438">
        <v>1.0680000000000001</v>
      </c>
      <c r="AU438">
        <v>1.538</v>
      </c>
      <c r="AV438">
        <v>1.353</v>
      </c>
      <c r="AW438">
        <v>1.929</v>
      </c>
      <c r="AX438">
        <v>1.732</v>
      </c>
      <c r="AY438">
        <v>1.764</v>
      </c>
      <c r="BD4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191.27319732473055</v>
      </c>
      <c r="BE4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329.82005873003385</v>
      </c>
      <c r="BF4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556.43111949012507</v>
      </c>
      <c r="BG4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790.89503879140784</v>
      </c>
      <c r="BH4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973.75445910771896</v>
      </c>
      <c r="BI4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1009.6532410103077</v>
      </c>
      <c r="BJ4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1025.9198765599183</v>
      </c>
      <c r="BK4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886.81209668738711</v>
      </c>
      <c r="BL4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622.61949862302322</v>
      </c>
      <c r="BM4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399.9348671335274</v>
      </c>
      <c r="BN4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185.10309418522311</v>
      </c>
      <c r="BO4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156.49625235659769</v>
      </c>
      <c r="BP438">
        <f>SUM(Таб[[#This Row],[1]:[12]])</f>
        <v>7128.7128000000002</v>
      </c>
    </row>
    <row r="439" spans="2:68" ht="51">
      <c r="B439" t="s">
        <v>384</v>
      </c>
      <c r="C439" t="str">
        <f>IFERROR(VLOOKUP(Таб[[#This Row],[Зелений Тариф ЕЦ]],Sheet6!$H$9:$I$29,2,FALSE),"")</f>
        <v>Земля</v>
      </c>
      <c r="D439" t="s">
        <v>3386</v>
      </c>
      <c r="E439" t="s">
        <v>3386</v>
      </c>
      <c r="F439" t="s">
        <v>3287</v>
      </c>
      <c r="G439" s="1" t="s">
        <v>1147</v>
      </c>
      <c r="H439" t="s">
        <v>98</v>
      </c>
      <c r="J439" s="7">
        <v>5.7969999999999997</v>
      </c>
      <c r="K439" s="8"/>
      <c r="L439" s="8">
        <v>43417</v>
      </c>
      <c r="M439">
        <v>11</v>
      </c>
      <c r="N439" s="49" t="s">
        <v>71</v>
      </c>
      <c r="O439">
        <v>2018</v>
      </c>
      <c r="P439">
        <v>0.15029999999999999</v>
      </c>
      <c r="Q439" s="10"/>
      <c r="R439" s="11">
        <f>ROUND(Таб[[#This Row],[Зелений Тариф ЕЦ]]+Таб[[#This Row],[Зелений Тариф ЕЦ]]*Таб[[#This Row],[% надбавки]],4)</f>
        <v>0.15029999999999999</v>
      </c>
      <c r="S439" s="12"/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BD4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186.66847220394996</v>
      </c>
      <c r="BE4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321.87994620505151</v>
      </c>
      <c r="BF4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543.0355555023998</v>
      </c>
      <c r="BG4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771.85497304272565</v>
      </c>
      <c r="BH4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950.31222212919965</v>
      </c>
      <c r="BI4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985.34677409709661</v>
      </c>
      <c r="BJ4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1001.2218054575496</v>
      </c>
      <c r="BK4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865.46291658194991</v>
      </c>
      <c r="BL4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607.63051069320954</v>
      </c>
      <c r="BM4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390.30680551734986</v>
      </c>
      <c r="BN4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180.6469085844677</v>
      </c>
      <c r="BO4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152.72874998504997</v>
      </c>
      <c r="BP439">
        <f>SUM(Таб[[#This Row],[1]:[12]])</f>
        <v>6957.0956399999995</v>
      </c>
    </row>
    <row r="440" spans="2:68" ht="38.25">
      <c r="B440" t="s">
        <v>384</v>
      </c>
      <c r="C440" t="str">
        <f>IFERROR(VLOOKUP(Таб[[#This Row],[Зелений Тариф ЕЦ]],Sheet6!$H$9:$I$29,2,FALSE),"")</f>
        <v>Земля</v>
      </c>
      <c r="G440" s="1" t="s">
        <v>1153</v>
      </c>
      <c r="H440" t="s">
        <v>82</v>
      </c>
      <c r="J440" s="7">
        <v>3.5030000000000001</v>
      </c>
      <c r="K440" s="8"/>
      <c r="L440" s="8">
        <v>42803</v>
      </c>
      <c r="M440">
        <v>3</v>
      </c>
      <c r="N440" s="49" t="s">
        <v>67</v>
      </c>
      <c r="O440">
        <v>2017</v>
      </c>
      <c r="P440">
        <v>0.15989999999999999</v>
      </c>
      <c r="Q440" s="10"/>
      <c r="R440" s="11">
        <f>ROUND(Таб[[#This Row],[Зелений Тариф ЕЦ]]+Таб[[#This Row],[Зелений Тариф ЕЦ]]*Таб[[#This Row],[% надбавки]],4)</f>
        <v>0.15989999999999999</v>
      </c>
      <c r="S440" s="12"/>
      <c r="T440">
        <v>0</v>
      </c>
      <c r="U440">
        <v>0</v>
      </c>
      <c r="V440">
        <v>0</v>
      </c>
      <c r="W440">
        <v>0</v>
      </c>
      <c r="X440">
        <v>0.56899999999999995</v>
      </c>
      <c r="Y440">
        <v>0.43599999999999994</v>
      </c>
      <c r="Z440">
        <v>0.84000000000000008</v>
      </c>
      <c r="AA440">
        <v>0.47300000000000009</v>
      </c>
      <c r="AB440">
        <v>7.8999999999999737E-2</v>
      </c>
      <c r="AC440">
        <v>0.2330000000000001</v>
      </c>
      <c r="AD440">
        <v>0.1120000000000001</v>
      </c>
      <c r="AE440">
        <v>0.11900000000000022</v>
      </c>
      <c r="AF440">
        <v>0.16700000000000001</v>
      </c>
      <c r="AG440">
        <v>0.17899999999999999</v>
      </c>
      <c r="AH440">
        <v>0.313</v>
      </c>
      <c r="AI440">
        <v>0.56100000000000005</v>
      </c>
      <c r="AJ440">
        <v>0.57799999999999996</v>
      </c>
      <c r="AK440">
        <v>0.56599999999999995</v>
      </c>
      <c r="AL440">
        <v>0.53300000000000003</v>
      </c>
      <c r="AM440">
        <v>0.61599999999999999</v>
      </c>
      <c r="AN440">
        <v>0.39700000000000002</v>
      </c>
      <c r="AO440">
        <v>0.44900000000000001</v>
      </c>
      <c r="AP440">
        <v>0.153</v>
      </c>
      <c r="AQ440">
        <v>2.9000000000000001E-2</v>
      </c>
      <c r="AR440">
        <v>0.13900000000000001</v>
      </c>
      <c r="AS440">
        <v>0.186</v>
      </c>
      <c r="AT440">
        <v>0.44</v>
      </c>
      <c r="AU440">
        <v>0.52400000000000002</v>
      </c>
      <c r="AV440">
        <v>0.48899999999999999</v>
      </c>
      <c r="AW440">
        <v>0.55200000000000005</v>
      </c>
      <c r="AX440">
        <v>0.56999999999999995</v>
      </c>
      <c r="AY440">
        <v>0.48</v>
      </c>
      <c r="BD4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112.79966502163825</v>
      </c>
      <c r="BE4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194.50499423086006</v>
      </c>
      <c r="BF4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328.14448006294754</v>
      </c>
      <c r="BG4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466.41503718624597</v>
      </c>
      <c r="BH4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574.2528401101581</v>
      </c>
      <c r="BI4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595.42345172712248</v>
      </c>
      <c r="BJ4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605.0163851160595</v>
      </c>
      <c r="BK4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522.98026510032264</v>
      </c>
      <c r="BL4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367.17779523172561</v>
      </c>
      <c r="BM4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235.85384504524353</v>
      </c>
      <c r="BN4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109.1609661499725</v>
      </c>
      <c r="BO4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92.290635017703991</v>
      </c>
      <c r="BP440">
        <f>SUM(Таб[[#This Row],[1]:[12]])</f>
        <v>4204.0203600000004</v>
      </c>
    </row>
    <row r="441" spans="2:68" ht="38.25">
      <c r="B441" t="s">
        <v>384</v>
      </c>
      <c r="C441" t="str">
        <f>IFERROR(VLOOKUP(Таб[[#This Row],[Зелений Тариф ЕЦ]],Sheet6!$H$9:$I$29,2,FALSE),"")</f>
        <v>Земля</v>
      </c>
      <c r="G441" s="1" t="s">
        <v>1153</v>
      </c>
      <c r="H441" t="s">
        <v>82</v>
      </c>
      <c r="J441" s="7">
        <v>1.458</v>
      </c>
      <c r="K441" s="8"/>
      <c r="L441" s="8">
        <v>42905</v>
      </c>
      <c r="M441">
        <v>6</v>
      </c>
      <c r="N441" s="49" t="s">
        <v>57</v>
      </c>
      <c r="O441">
        <v>2017</v>
      </c>
      <c r="P441">
        <v>0.15029999999999999</v>
      </c>
      <c r="Q441" s="10"/>
      <c r="R441" s="11">
        <f>ROUND(Таб[[#This Row],[Зелений Тариф ЕЦ]]+Таб[[#This Row],[Зелений Тариф ЕЦ]]*Таб[[#This Row],[% надбавки]],4)</f>
        <v>0.15029999999999999</v>
      </c>
      <c r="S441" s="12"/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0.504</v>
      </c>
      <c r="AC441">
        <v>9.8999999999999977E-2</v>
      </c>
      <c r="AD441">
        <v>4.8000000000000043E-2</v>
      </c>
      <c r="AE441">
        <v>5.0999999999999934E-2</v>
      </c>
      <c r="AF441">
        <v>7.2999999999999995E-2</v>
      </c>
      <c r="AG441">
        <v>7.8E-2</v>
      </c>
      <c r="AH441">
        <v>0.13300000000000001</v>
      </c>
      <c r="AI441">
        <v>0.54400000000000004</v>
      </c>
      <c r="AJ441">
        <v>0.56100000000000005</v>
      </c>
      <c r="AK441">
        <v>0.55800000000000005</v>
      </c>
      <c r="AL441">
        <v>0.51900000000000002</v>
      </c>
      <c r="AM441">
        <v>0.60599999999999998</v>
      </c>
      <c r="AN441">
        <v>0.38800000000000001</v>
      </c>
      <c r="AO441">
        <v>0.41399999999999998</v>
      </c>
      <c r="AP441">
        <v>0.16600000000000001</v>
      </c>
      <c r="AQ441">
        <v>4.9000000000000002E-2</v>
      </c>
      <c r="AR441">
        <v>0.13900000000000001</v>
      </c>
      <c r="AS441">
        <v>0.186</v>
      </c>
      <c r="AT441">
        <v>1.115</v>
      </c>
      <c r="AU441">
        <v>1.514</v>
      </c>
      <c r="AV441">
        <v>1.4770000000000001</v>
      </c>
      <c r="AW441">
        <v>1.633</v>
      </c>
      <c r="AX441">
        <v>1.681</v>
      </c>
      <c r="AY441">
        <v>1.679</v>
      </c>
      <c r="BD4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46.948875706979315</v>
      </c>
      <c r="BE4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80.955832597371938</v>
      </c>
      <c r="BF4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136.57854751121249</v>
      </c>
      <c r="BG4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194.12878224880006</v>
      </c>
      <c r="BH4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239.01245814462192</v>
      </c>
      <c r="BI4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247.82397733889371</v>
      </c>
      <c r="BJ4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251.81669697379809</v>
      </c>
      <c r="BK4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217.67206009599494</v>
      </c>
      <c r="BL4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152.82478602565112</v>
      </c>
      <c r="BM4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98.165831023683992</v>
      </c>
      <c r="BN4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45.434395845463854</v>
      </c>
      <c r="BO4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38.412716487528527</v>
      </c>
      <c r="BP441">
        <f>SUM(Таб[[#This Row],[1]:[12]])</f>
        <v>1749.77496</v>
      </c>
    </row>
    <row r="442" spans="2:68" ht="38.25">
      <c r="B442" t="s">
        <v>384</v>
      </c>
      <c r="C442" t="str">
        <f>IFERROR(VLOOKUP(Таб[[#This Row],[Зелений Тариф ЕЦ]],Sheet6!$H$9:$I$29,2,FALSE),"")</f>
        <v>Земля</v>
      </c>
      <c r="G442" s="1" t="s">
        <v>1153</v>
      </c>
      <c r="H442" t="s">
        <v>82</v>
      </c>
      <c r="J442" s="7">
        <v>2.0059999999999998</v>
      </c>
      <c r="K442" s="8"/>
      <c r="L442" s="8">
        <v>43158</v>
      </c>
      <c r="M442">
        <v>2</v>
      </c>
      <c r="N442" s="49" t="s">
        <v>67</v>
      </c>
      <c r="O442">
        <v>2018</v>
      </c>
      <c r="P442">
        <v>0.15029999999999999</v>
      </c>
      <c r="Q442" s="10"/>
      <c r="R442" s="11">
        <f>ROUND(Таб[[#This Row],[Зелений Тариф ЕЦ]]+Таб[[#This Row],[Зелений Тариф ЕЦ]]*Таб[[#This Row],[% надбавки]],4)</f>
        <v>0.15029999999999999</v>
      </c>
      <c r="S442" s="12"/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BD4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64.594955190809671</v>
      </c>
      <c r="BE4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111.38367639940199</v>
      </c>
      <c r="BF4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187.912596918719</v>
      </c>
      <c r="BG4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267.09350973325985</v>
      </c>
      <c r="BH4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328.84704460775828</v>
      </c>
      <c r="BI4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340.97043795735306</v>
      </c>
      <c r="BJ4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346.46385056888812</v>
      </c>
      <c r="BK4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299.48570133920839</v>
      </c>
      <c r="BL4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210.26510340703436</v>
      </c>
      <c r="BM4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135.06217903532928</v>
      </c>
      <c r="BN4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62.511246958848062</v>
      </c>
      <c r="BO4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52.850417883389717</v>
      </c>
      <c r="BP442">
        <f>SUM(Таб[[#This Row],[1]:[12]])</f>
        <v>2407.4407200000001</v>
      </c>
    </row>
    <row r="443" spans="2:68" ht="38.25">
      <c r="B443" t="s">
        <v>384</v>
      </c>
      <c r="C443" t="str">
        <f>IFERROR(VLOOKUP(Таб[[#This Row],[Зелений Тариф ЕЦ]],Sheet6!$H$9:$I$29,2,FALSE),"")</f>
        <v>Земля</v>
      </c>
      <c r="G443" s="1" t="s">
        <v>1153</v>
      </c>
      <c r="H443" t="s">
        <v>82</v>
      </c>
      <c r="J443" s="7">
        <v>7.085</v>
      </c>
      <c r="K443" s="8"/>
      <c r="L443" s="8">
        <v>43403</v>
      </c>
      <c r="M443">
        <v>10</v>
      </c>
      <c r="N443" s="49" t="s">
        <v>71</v>
      </c>
      <c r="O443">
        <v>2018</v>
      </c>
      <c r="P443">
        <v>0.15029999999999999</v>
      </c>
      <c r="Q443" s="10"/>
      <c r="R443" s="11">
        <f>ROUND(Таб[[#This Row],[Зелений Тариф ЕЦ]]+Таб[[#This Row],[Зелений Тариф ЕЦ]]*Таб[[#This Row],[% надбавки]],4)</f>
        <v>0.15029999999999999</v>
      </c>
      <c r="S443" s="12"/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BD4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228.14319916594545</v>
      </c>
      <c r="BE4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393.39648419230468</v>
      </c>
      <c r="BF4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663.68930666456833</v>
      </c>
      <c r="BG4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943.34871209379185</v>
      </c>
      <c r="BH4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1161.4562866629949</v>
      </c>
      <c r="BI4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1204.2749516090958</v>
      </c>
      <c r="BJ4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1223.677159162798</v>
      </c>
      <c r="BK4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1057.754832496656</v>
      </c>
      <c r="BL4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742.63622015894248</v>
      </c>
      <c r="BM4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477.02668916515853</v>
      </c>
      <c r="BN4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220.78374112833433</v>
      </c>
      <c r="BO4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186.66261749940989</v>
      </c>
      <c r="BP443">
        <f>SUM(Таб[[#This Row],[1]:[12]])</f>
        <v>8502.8502000000008</v>
      </c>
    </row>
    <row r="444" spans="2:68" ht="38.25">
      <c r="B444" t="s">
        <v>384</v>
      </c>
      <c r="C444" t="str">
        <f>IFERROR(VLOOKUP(Таб[[#This Row],[Зелений Тариф ЕЦ]],Sheet6!$H$9:$I$29,2,FALSE),"")</f>
        <v>Земля</v>
      </c>
      <c r="G444" s="1" t="s">
        <v>1158</v>
      </c>
      <c r="H444" t="s">
        <v>73</v>
      </c>
      <c r="J444" s="7">
        <v>0.96899999999999997</v>
      </c>
      <c r="K444" s="8"/>
      <c r="L444" s="8">
        <v>43382</v>
      </c>
      <c r="M444">
        <v>10</v>
      </c>
      <c r="N444" s="49" t="s">
        <v>71</v>
      </c>
      <c r="O444">
        <v>2018</v>
      </c>
      <c r="P444">
        <v>0.15029999999999999</v>
      </c>
      <c r="Q444" s="10"/>
      <c r="R444" s="11">
        <f>ROUND(Таб[[#This Row],[Зелений Тариф ЕЦ]]+Таб[[#This Row],[Зелений Тариф ЕЦ]]*Таб[[#This Row],[% надбавки]],4)</f>
        <v>0.15029999999999999</v>
      </c>
      <c r="S444" s="12"/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0.311</v>
      </c>
      <c r="AX444">
        <v>0.35099999999999998</v>
      </c>
      <c r="AY444">
        <v>0.35299999999999998</v>
      </c>
      <c r="BD4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31.202647846408063</v>
      </c>
      <c r="BE4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53.803979277677236</v>
      </c>
      <c r="BF4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90.771339189550702</v>
      </c>
      <c r="BG4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129.01974622708317</v>
      </c>
      <c r="BH4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158.84984358171374</v>
      </c>
      <c r="BI4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164.70605901329768</v>
      </c>
      <c r="BJ4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167.35965663073412</v>
      </c>
      <c r="BK4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144.66682183334643</v>
      </c>
      <c r="BL4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101.56873639153358</v>
      </c>
      <c r="BM4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65.241900042489576</v>
      </c>
      <c r="BN4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30.196110819104575</v>
      </c>
      <c r="BO4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25.52943914706114</v>
      </c>
      <c r="BP444">
        <f>SUM(Таб[[#This Row],[1]:[12]])</f>
        <v>1162.9162799999999</v>
      </c>
    </row>
    <row r="445" spans="2:68" ht="38.25">
      <c r="B445" t="s">
        <v>384</v>
      </c>
      <c r="C445" t="str">
        <f>IFERROR(VLOOKUP(Таб[[#This Row],[Зелений Тариф ЕЦ]],Sheet6!$H$9:$I$29,2,FALSE),"")</f>
        <v>Земля</v>
      </c>
      <c r="G445" s="1" t="s">
        <v>1158</v>
      </c>
      <c r="H445" t="s">
        <v>73</v>
      </c>
      <c r="J445" s="7">
        <v>1.113</v>
      </c>
      <c r="K445" s="8"/>
      <c r="L445" s="8">
        <v>43476</v>
      </c>
      <c r="M445">
        <v>1</v>
      </c>
      <c r="N445" s="49" t="s">
        <v>67</v>
      </c>
      <c r="O445">
        <v>2019</v>
      </c>
      <c r="P445">
        <v>0.15029999999999999</v>
      </c>
      <c r="Q445" s="10"/>
      <c r="R445" s="11">
        <f>ROUND(Таб[[#This Row],[Зелений Тариф ЕЦ]]+Таб[[#This Row],[Зелений Тариф ЕЦ]]*Таб[[#This Row],[% надбавки]],4)</f>
        <v>0.15029999999999999</v>
      </c>
      <c r="S445" s="12"/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BD4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35.839573842159105</v>
      </c>
      <c r="BE4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61.799617065071992</v>
      </c>
      <c r="BF4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104.26057844991738</v>
      </c>
      <c r="BG4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148.19295928869306</v>
      </c>
      <c r="BH4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182.45601228735543</v>
      </c>
      <c r="BI4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189.18250121960813</v>
      </c>
      <c r="BJ4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192.23044151703516</v>
      </c>
      <c r="BK4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166.16529690455585</v>
      </c>
      <c r="BL4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116.66254241875836</v>
      </c>
      <c r="BM4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74.937290760878113</v>
      </c>
      <c r="BN4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34.683458556928166</v>
      </c>
      <c r="BO4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29.323287689039262</v>
      </c>
      <c r="BP445">
        <f>SUM(Таб[[#This Row],[1]:[12]])</f>
        <v>1335.7335600000001</v>
      </c>
    </row>
    <row r="446" spans="2:68" ht="25.5">
      <c r="B446" t="s">
        <v>384</v>
      </c>
      <c r="C446" t="str">
        <f>IFERROR(VLOOKUP(Таб[[#This Row],[Зелений Тариф ЕЦ]],Sheet6!$H$9:$I$29,2,FALSE),"")</f>
        <v>Земля</v>
      </c>
      <c r="G446" s="1" t="s">
        <v>1163</v>
      </c>
      <c r="H446" t="s">
        <v>65</v>
      </c>
      <c r="J446" s="7">
        <v>8.4109999999999996</v>
      </c>
      <c r="K446" s="8"/>
      <c r="L446" s="8">
        <v>43524</v>
      </c>
      <c r="M446">
        <v>2</v>
      </c>
      <c r="N446" s="49" t="s">
        <v>67</v>
      </c>
      <c r="O446">
        <v>2019</v>
      </c>
      <c r="P446">
        <v>0.15029999999999999</v>
      </c>
      <c r="Q446" s="10"/>
      <c r="R446" s="11">
        <f>ROUND(Таб[[#This Row],[Зелений Тариф ЕЦ]]+Таб[[#This Row],[Зелений Тариф ЕЦ]]*Таб[[#This Row],[% надбавки]],4)</f>
        <v>0.15029999999999999</v>
      </c>
      <c r="S446" s="12"/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0.88700000000000001</v>
      </c>
      <c r="AU446">
        <v>1.0509999999999999</v>
      </c>
      <c r="AV446">
        <v>1.0109999999999999</v>
      </c>
      <c r="AW446">
        <v>1.3</v>
      </c>
      <c r="AX446">
        <v>1.29</v>
      </c>
      <c r="AY446">
        <v>1.306</v>
      </c>
      <c r="BD4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270.84155937681959</v>
      </c>
      <c r="BE4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467.02298215123136</v>
      </c>
      <c r="BF4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787.9027181871113</v>
      </c>
      <c r="BG4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1119.9020490361161</v>
      </c>
      <c r="BH4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1378.8297568274452</v>
      </c>
      <c r="BI4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1429.6621902588715</v>
      </c>
      <c r="BJ4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1452.6956366574868</v>
      </c>
      <c r="BK4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1255.7199571107089</v>
      </c>
      <c r="BL4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881.62501732630426</v>
      </c>
      <c r="BM4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566.30507869698636</v>
      </c>
      <c r="BN4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262.10473488079316</v>
      </c>
      <c r="BO4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221.59763949012512</v>
      </c>
      <c r="BP446">
        <f>SUM(Таб[[#This Row],[1]:[12]])</f>
        <v>10094.209320000002</v>
      </c>
    </row>
    <row r="447" spans="2:68" ht="51">
      <c r="B447" t="s">
        <v>384</v>
      </c>
      <c r="C447" t="str">
        <f>IFERROR(VLOOKUP(Таб[[#This Row],[Зелений Тариф ЕЦ]],Sheet6!$H$9:$I$29,2,FALSE),"")</f>
        <v>Земля</v>
      </c>
      <c r="D447" s="138"/>
      <c r="E447" s="138"/>
      <c r="F447" s="138" t="s">
        <v>3287</v>
      </c>
      <c r="G447" s="1" t="s">
        <v>1166</v>
      </c>
      <c r="H447" t="s">
        <v>69</v>
      </c>
      <c r="I447" t="s">
        <v>1167</v>
      </c>
      <c r="J447" s="7">
        <v>1.518</v>
      </c>
      <c r="K447" s="8"/>
      <c r="L447" s="8">
        <v>42719</v>
      </c>
      <c r="M447">
        <v>12</v>
      </c>
      <c r="N447" s="49" t="s">
        <v>71</v>
      </c>
      <c r="O447">
        <v>2016</v>
      </c>
      <c r="P447">
        <v>0.46529999999999999</v>
      </c>
      <c r="Q447" s="10"/>
      <c r="R447" s="11">
        <f>ROUND(Таб[[#This Row],[Зелений Тариф ЕЦ]]+Таб[[#This Row],[Зелений Тариф ЕЦ]]*Таб[[#This Row],[% надбавки]],4)</f>
        <v>0.46529999999999999</v>
      </c>
      <c r="S447" s="12"/>
      <c r="T447">
        <v>0</v>
      </c>
      <c r="U447">
        <v>0.115</v>
      </c>
      <c r="V447">
        <v>0.42600000000000005</v>
      </c>
      <c r="W447">
        <v>0.49199999999999988</v>
      </c>
      <c r="X447">
        <v>0.63500000000000001</v>
      </c>
      <c r="Y447">
        <v>0.63700000000000023</v>
      </c>
      <c r="Z447">
        <v>0.63499999999999979</v>
      </c>
      <c r="AA447">
        <v>0.64000000000000012</v>
      </c>
      <c r="AB447">
        <v>0.54699999999999971</v>
      </c>
      <c r="AC447">
        <v>0.24000000000000021</v>
      </c>
      <c r="AD447">
        <v>0.14599999999999991</v>
      </c>
      <c r="AE447">
        <v>8.4000000000000519E-2</v>
      </c>
      <c r="AF447">
        <v>0.16400000000000001</v>
      </c>
      <c r="AG447">
        <v>0.19</v>
      </c>
      <c r="AH447">
        <v>0.30299999999999999</v>
      </c>
      <c r="AI447">
        <v>0.59799999999999998</v>
      </c>
      <c r="AJ447">
        <v>0.66500000000000004</v>
      </c>
      <c r="AK447">
        <v>0.68300000000000005</v>
      </c>
      <c r="AL447">
        <v>0.59599999999999997</v>
      </c>
      <c r="AM447">
        <v>0.69599999999999995</v>
      </c>
      <c r="AN447">
        <v>0.437</v>
      </c>
      <c r="AO447">
        <v>0.45400000000000001</v>
      </c>
      <c r="AP447">
        <v>0.20200000000000001</v>
      </c>
      <c r="AQ447">
        <v>5.5E-2</v>
      </c>
      <c r="AR447">
        <v>0.13400000000000001</v>
      </c>
      <c r="AS447">
        <v>0.22900000000000001</v>
      </c>
      <c r="AT447">
        <v>0.41299999999999998</v>
      </c>
      <c r="AU447">
        <v>0.56399999999999995</v>
      </c>
      <c r="AV447">
        <v>0.61199999999999999</v>
      </c>
      <c r="AW447">
        <v>0.65600000000000003</v>
      </c>
      <c r="AX447">
        <v>0.64400000000000002</v>
      </c>
      <c r="AY447">
        <v>0.64600000000000002</v>
      </c>
      <c r="BD4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48.880928205208917</v>
      </c>
      <c r="BE4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84.287348342119756</v>
      </c>
      <c r="BF4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142.19906386969865</v>
      </c>
      <c r="BG4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202.11762102447088</v>
      </c>
      <c r="BH4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248.84836177197263</v>
      </c>
      <c r="BI4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258.0224949248564</v>
      </c>
      <c r="BJ4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262.1795240097569</v>
      </c>
      <c r="BK4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226.62975804233224</v>
      </c>
      <c r="BL4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159.11387187032813</v>
      </c>
      <c r="BM4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102.2055771563459</v>
      </c>
      <c r="BN4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47.304124069557012</v>
      </c>
      <c r="BO4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39.993486713352745</v>
      </c>
      <c r="BP447">
        <f>SUM(Таб[[#This Row],[1]:[12]])</f>
        <v>1821.78216</v>
      </c>
    </row>
    <row r="448" spans="2:68" ht="51">
      <c r="B448" t="s">
        <v>384</v>
      </c>
      <c r="C448" t="str">
        <f>IFERROR(VLOOKUP(Таб[[#This Row],[Зелений Тариф ЕЦ]],Sheet6!$H$9:$I$29,2,FALSE),"")</f>
        <v>Земля</v>
      </c>
      <c r="D448" s="138"/>
      <c r="E448" s="138"/>
      <c r="F448" s="138" t="s">
        <v>3287</v>
      </c>
      <c r="G448" s="1" t="s">
        <v>1166</v>
      </c>
      <c r="H448" t="s">
        <v>69</v>
      </c>
      <c r="I448" t="s">
        <v>1167</v>
      </c>
      <c r="J448" s="7">
        <v>2.5</v>
      </c>
      <c r="K448" s="8"/>
      <c r="L448" s="8">
        <v>42719</v>
      </c>
      <c r="M448">
        <v>12</v>
      </c>
      <c r="N448" s="49" t="s">
        <v>71</v>
      </c>
      <c r="O448">
        <v>2016</v>
      </c>
      <c r="P448">
        <v>0.46529999999999999</v>
      </c>
      <c r="Q448" s="10"/>
      <c r="R448" s="11">
        <f>ROUND(Таб[[#This Row],[Зелений Тариф ЕЦ]]+Таб[[#This Row],[Зелений Тариф ЕЦ]]*Таб[[#This Row],[% надбавки]],4)</f>
        <v>0.46529999999999999</v>
      </c>
      <c r="S448" s="12"/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BD4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80.502187426233377</v>
      </c>
      <c r="BE4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138.81315603115902</v>
      </c>
      <c r="BF4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234.18818160358799</v>
      </c>
      <c r="BG4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332.86828231961601</v>
      </c>
      <c r="BH4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409.82931780627894</v>
      </c>
      <c r="BI4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424.9382327484459</v>
      </c>
      <c r="BJ4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431.78445983161538</v>
      </c>
      <c r="BK4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373.23741443071839</v>
      </c>
      <c r="BL4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262.0452435282084</v>
      </c>
      <c r="BM4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168.32275552757886</v>
      </c>
      <c r="BN4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77.905342670548436</v>
      </c>
      <c r="BO4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65.865426076009129</v>
      </c>
      <c r="BP448">
        <f>SUM(Таб[[#This Row],[1]:[12]])</f>
        <v>3000.2999999999997</v>
      </c>
    </row>
    <row r="449" spans="2:68" ht="38.25">
      <c r="B449" t="s">
        <v>384</v>
      </c>
      <c r="C449" t="str">
        <f>IFERROR(VLOOKUP(Таб[[#This Row],[Зелений Тариф ЕЦ]],Sheet6!$H$9:$I$29,2,FALSE),"")</f>
        <v>Земля</v>
      </c>
      <c r="G449" s="1" t="s">
        <v>1169</v>
      </c>
      <c r="H449" t="s">
        <v>172</v>
      </c>
      <c r="I449" t="s">
        <v>951</v>
      </c>
      <c r="J449" s="7">
        <v>2.1269999999999998</v>
      </c>
      <c r="K449" s="8"/>
      <c r="L449" s="8">
        <v>43277</v>
      </c>
      <c r="M449">
        <v>6</v>
      </c>
      <c r="N449" s="49" t="s">
        <v>57</v>
      </c>
      <c r="O449">
        <v>2018</v>
      </c>
      <c r="P449">
        <v>0.15029999999999999</v>
      </c>
      <c r="Q449" s="10"/>
      <c r="R449" s="11">
        <f>ROUND(Таб[[#This Row],[Зелений Тариф ЕЦ]]+Таб[[#This Row],[Зелений Тариф ЕЦ]]*Таб[[#This Row],[% надбавки]],4)</f>
        <v>0.15029999999999999</v>
      </c>
      <c r="S449" s="12"/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0.19600000000000001</v>
      </c>
      <c r="AM449">
        <v>0.33200000000000002</v>
      </c>
      <c r="AN449">
        <v>0.23699999999999999</v>
      </c>
      <c r="AO449">
        <v>0.21199999999999999</v>
      </c>
      <c r="AP449">
        <v>7.0000000000000007E-2</v>
      </c>
      <c r="AQ449">
        <v>4.1000000000000002E-2</v>
      </c>
      <c r="AR449">
        <v>5.8000000000000003E-2</v>
      </c>
      <c r="AS449">
        <v>0.183</v>
      </c>
      <c r="AT449">
        <v>0.495</v>
      </c>
      <c r="AU449">
        <v>0.65400000000000003</v>
      </c>
      <c r="AV449">
        <v>0.59</v>
      </c>
      <c r="AW449">
        <v>0.375</v>
      </c>
      <c r="AX449">
        <v>1.3260000000000001</v>
      </c>
      <c r="AY449">
        <v>1.454</v>
      </c>
      <c r="BD4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68.49126106223936</v>
      </c>
      <c r="BE4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118.10223315131009</v>
      </c>
      <c r="BF4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199.24730490833264</v>
      </c>
      <c r="BG4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283.20433459752928</v>
      </c>
      <c r="BH4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348.68278358958219</v>
      </c>
      <c r="BI4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361.53744842237779</v>
      </c>
      <c r="BJ4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367.36221842473839</v>
      </c>
      <c r="BK4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317.55039219765519</v>
      </c>
      <c r="BL4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222.94809319379965</v>
      </c>
      <c r="BM4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143.20900040286409</v>
      </c>
      <c r="BN4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66.281865544102615</v>
      </c>
      <c r="BO4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56.03830450546856</v>
      </c>
      <c r="BP449">
        <f>SUM(Таб[[#This Row],[1]:[12]])</f>
        <v>2552.6552399999996</v>
      </c>
    </row>
    <row r="450" spans="2:68" ht="38.25">
      <c r="B450" t="s">
        <v>384</v>
      </c>
      <c r="C450" t="str">
        <f>IFERROR(VLOOKUP(Таб[[#This Row],[Зелений Тариф ЕЦ]],Sheet6!$H$9:$I$29,2,FALSE),"")</f>
        <v>Земля</v>
      </c>
      <c r="G450" s="1" t="s">
        <v>1169</v>
      </c>
      <c r="H450" t="s">
        <v>172</v>
      </c>
      <c r="I450" t="s">
        <v>951</v>
      </c>
      <c r="J450" s="7">
        <v>0.95</v>
      </c>
      <c r="K450" s="8"/>
      <c r="L450" s="8">
        <v>43382</v>
      </c>
      <c r="M450">
        <v>10</v>
      </c>
      <c r="N450" s="49" t="s">
        <v>71</v>
      </c>
      <c r="O450">
        <v>2018</v>
      </c>
      <c r="P450">
        <v>0.15029999999999999</v>
      </c>
      <c r="Q450" s="10"/>
      <c r="R450" s="11">
        <f>ROUND(Таб[[#This Row],[Зелений Тариф ЕЦ]]+Таб[[#This Row],[Зелений Тариф ЕЦ]]*Таб[[#This Row],[% надбавки]],4)</f>
        <v>0.15029999999999999</v>
      </c>
      <c r="S450" s="12"/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3.3000000000000002E-2</v>
      </c>
      <c r="AQ450">
        <v>0.02</v>
      </c>
      <c r="AR450">
        <v>2.5999999999999999E-2</v>
      </c>
      <c r="AS450">
        <v>0</v>
      </c>
      <c r="AT450">
        <v>0</v>
      </c>
      <c r="AU450">
        <v>0</v>
      </c>
      <c r="AV450">
        <v>0</v>
      </c>
      <c r="AW450">
        <v>0.16600000000000001</v>
      </c>
      <c r="AX450">
        <v>0</v>
      </c>
      <c r="AY450">
        <v>0</v>
      </c>
      <c r="BD4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30.590831221968685</v>
      </c>
      <c r="BE4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52.748999291840427</v>
      </c>
      <c r="BF4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88.991509009363426</v>
      </c>
      <c r="BG4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126.48994728145408</v>
      </c>
      <c r="BH4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155.735140766386</v>
      </c>
      <c r="BI4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161.4765284444095</v>
      </c>
      <c r="BJ4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164.07809473601384</v>
      </c>
      <c r="BK4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141.83021748367301</v>
      </c>
      <c r="BL4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99.577192540719182</v>
      </c>
      <c r="BM4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63.96264710047997</v>
      </c>
      <c r="BN4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29.604030214808404</v>
      </c>
      <c r="BO4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25.028861908883471</v>
      </c>
      <c r="BP450">
        <f>SUM(Таб[[#This Row],[1]:[12]])</f>
        <v>1140.1139999999998</v>
      </c>
    </row>
    <row r="451" spans="2:68" ht="38.25">
      <c r="B451" t="s">
        <v>384</v>
      </c>
      <c r="C451" t="str">
        <f>IFERROR(VLOOKUP(Таб[[#This Row],[Зелений Тариф ЕЦ]],Sheet6!$H$9:$I$29,2,FALSE),"")</f>
        <v>Земля</v>
      </c>
      <c r="G451" s="1" t="s">
        <v>1169</v>
      </c>
      <c r="H451" t="s">
        <v>198</v>
      </c>
      <c r="I451" t="s">
        <v>362</v>
      </c>
      <c r="J451" s="7">
        <v>1.7050000000000001</v>
      </c>
      <c r="K451" s="8"/>
      <c r="L451" s="8">
        <v>43511</v>
      </c>
      <c r="M451">
        <v>2</v>
      </c>
      <c r="N451" s="49" t="s">
        <v>67</v>
      </c>
      <c r="O451">
        <v>2019</v>
      </c>
      <c r="P451">
        <v>0.15029999999999999</v>
      </c>
      <c r="Q451" s="10"/>
      <c r="R451" s="11">
        <f>ROUND(Таб[[#This Row],[Зелений Тариф ЕЦ]]+Таб[[#This Row],[Зелений Тариф ЕЦ]]*Таб[[#This Row],[% надбавки]],4)</f>
        <v>0.15029999999999999</v>
      </c>
      <c r="S451" s="12"/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0.30099999999999999</v>
      </c>
      <c r="AX451">
        <v>0</v>
      </c>
      <c r="AY451">
        <v>0</v>
      </c>
      <c r="BD4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54.902491824691175</v>
      </c>
      <c r="BE4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94.670572413250454</v>
      </c>
      <c r="BF4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159.71633985364701</v>
      </c>
      <c r="BG4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227.01616854197815</v>
      </c>
      <c r="BH4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279.50359474388227</v>
      </c>
      <c r="BI4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289.80787473444019</v>
      </c>
      <c r="BJ4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294.47700160516172</v>
      </c>
      <c r="BK4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254.54791664174996</v>
      </c>
      <c r="BL4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178.71485608623811</v>
      </c>
      <c r="BM4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114.79611926980878</v>
      </c>
      <c r="BN4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53.131443701314041</v>
      </c>
      <c r="BO4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44.92022058383823</v>
      </c>
      <c r="BP451">
        <f>SUM(Таб[[#This Row],[1]:[12]])</f>
        <v>2046.2046000000003</v>
      </c>
    </row>
    <row r="452" spans="2:68" ht="38.25">
      <c r="B452" t="s">
        <v>384</v>
      </c>
      <c r="C452" t="str">
        <f>IFERROR(VLOOKUP(Таб[[#This Row],[Зелений Тариф ЕЦ]],Sheet6!$H$9:$I$29,2,FALSE),"")</f>
        <v>Земля</v>
      </c>
      <c r="G452" s="1" t="s">
        <v>1169</v>
      </c>
      <c r="H452" t="s">
        <v>172</v>
      </c>
      <c r="I452" t="s">
        <v>951</v>
      </c>
      <c r="J452" s="7">
        <v>2.3090000000000002</v>
      </c>
      <c r="K452" s="8"/>
      <c r="L452" s="8">
        <v>43567</v>
      </c>
      <c r="M452">
        <v>4</v>
      </c>
      <c r="N452" s="49" t="s">
        <v>57</v>
      </c>
      <c r="O452">
        <v>2019</v>
      </c>
      <c r="P452">
        <v>0.15029999999999999</v>
      </c>
      <c r="Q452" s="10"/>
      <c r="R452" s="11">
        <f>ROUND(Таб[[#This Row],[Зелений Тариф ЕЦ]]+Таб[[#This Row],[Зелений Тариф ЕЦ]]*Таб[[#This Row],[% надбавки]],4)</f>
        <v>0.15029999999999999</v>
      </c>
      <c r="S452" s="12"/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4.8000000000000001E-2</v>
      </c>
      <c r="AV452">
        <v>0.108</v>
      </c>
      <c r="AW452">
        <v>0.35199999999999998</v>
      </c>
      <c r="AX452">
        <v>0</v>
      </c>
      <c r="AY452">
        <v>0</v>
      </c>
      <c r="BD4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74.351820306869158</v>
      </c>
      <c r="BE4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128.20783091037848</v>
      </c>
      <c r="BF4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216.29620452907389</v>
      </c>
      <c r="BG4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307.43714555039736</v>
      </c>
      <c r="BH4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378.51835792587934</v>
      </c>
      <c r="BI4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392.4729517664648</v>
      </c>
      <c r="BJ4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398.79612710048002</v>
      </c>
      <c r="BK4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344.72207596821153</v>
      </c>
      <c r="BL4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242.02498692265328</v>
      </c>
      <c r="BM4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155.46289700527186</v>
      </c>
      <c r="BN4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71.953374490518542</v>
      </c>
      <c r="BO4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60.833307523802034</v>
      </c>
      <c r="BP452">
        <f>SUM(Таб[[#This Row],[1]:[12]])</f>
        <v>2771.0770799999996</v>
      </c>
    </row>
    <row r="453" spans="2:68" ht="38.25">
      <c r="B453" t="s">
        <v>384</v>
      </c>
      <c r="C453" t="str">
        <f>IFERROR(VLOOKUP(Таб[[#This Row],[Зелений Тариф ЕЦ]],Sheet6!$H$9:$I$29,2,FALSE),"")</f>
        <v>Земля</v>
      </c>
      <c r="G453" s="1" t="s">
        <v>1169</v>
      </c>
      <c r="H453" t="s">
        <v>198</v>
      </c>
      <c r="I453" t="s">
        <v>3308</v>
      </c>
      <c r="J453" s="7">
        <v>2.319</v>
      </c>
      <c r="K453" s="8"/>
      <c r="L453" s="8">
        <v>43641</v>
      </c>
      <c r="M453">
        <v>6</v>
      </c>
      <c r="N453" s="49" t="s">
        <v>57</v>
      </c>
      <c r="O453">
        <v>2019</v>
      </c>
      <c r="P453">
        <v>0.15029999999999999</v>
      </c>
      <c r="Q453" s="10"/>
      <c r="R453" s="11">
        <f>ROUND(Таб[[#This Row],[Зелений Тариф ЕЦ]]+Таб[[#This Row],[Зелений Тариф ЕЦ]]*Таб[[#This Row],[% надбавки]],4)</f>
        <v>0.15029999999999999</v>
      </c>
      <c r="S453" s="12"/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BD4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74.673829056574078</v>
      </c>
      <c r="BE4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128.7630835345031</v>
      </c>
      <c r="BF4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217.23295725548826</v>
      </c>
      <c r="BG4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308.7686186796758</v>
      </c>
      <c r="BH4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380.15767519710442</v>
      </c>
      <c r="BI4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394.17270469745847</v>
      </c>
      <c r="BJ4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400.52326493980638</v>
      </c>
      <c r="BK4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346.21502562593435</v>
      </c>
      <c r="BL4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243.07316789676611</v>
      </c>
      <c r="BM4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156.13618802738216</v>
      </c>
      <c r="BN4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72.264995861200731</v>
      </c>
      <c r="BO4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61.096769228106062</v>
      </c>
      <c r="BP453">
        <f>SUM(Таб[[#This Row],[1]:[12]])</f>
        <v>2783.0782799999993</v>
      </c>
    </row>
    <row r="454" spans="2:68" ht="38.25">
      <c r="B454" t="s">
        <v>384</v>
      </c>
      <c r="C454" t="str">
        <f>IFERROR(VLOOKUP(Таб[[#This Row],[Зелений Тариф ЕЦ]],Sheet6!$H$9:$I$29,2,FALSE),"")</f>
        <v>Земля</v>
      </c>
      <c r="G454" s="1" t="s">
        <v>1180</v>
      </c>
      <c r="H454" t="s">
        <v>98</v>
      </c>
      <c r="J454" s="7">
        <v>0.32600000000000001</v>
      </c>
      <c r="K454" s="8"/>
      <c r="L454" s="8">
        <v>42719</v>
      </c>
      <c r="M454">
        <v>12</v>
      </c>
      <c r="N454" s="49" t="s">
        <v>71</v>
      </c>
      <c r="O454">
        <v>2016</v>
      </c>
      <c r="P454">
        <v>0.15989999999999999</v>
      </c>
      <c r="Q454" s="10"/>
      <c r="R454" s="11">
        <f>ROUND(Таб[[#This Row],[Зелений Тариф ЕЦ]]+Таб[[#This Row],[Зелений Тариф ЕЦ]]*Таб[[#This Row],[% надбавки]],4)</f>
        <v>0.15989999999999999</v>
      </c>
      <c r="S454" s="12"/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2.9000000000000001E-2</v>
      </c>
      <c r="AC454">
        <v>2.3999999999999997E-2</v>
      </c>
      <c r="AD454">
        <v>1.3000000000000005E-2</v>
      </c>
      <c r="AE454">
        <v>4.9999999999999906E-3</v>
      </c>
      <c r="AF454">
        <v>1.0999999999999999E-2</v>
      </c>
      <c r="AG454">
        <v>7.0000000000000001E-3</v>
      </c>
      <c r="AH454">
        <v>2.5999999999999999E-2</v>
      </c>
      <c r="AI454">
        <v>4.2999999999999997E-2</v>
      </c>
      <c r="AJ454">
        <v>4.8000000000000001E-2</v>
      </c>
      <c r="AK454">
        <v>3.5999999999999997E-2</v>
      </c>
      <c r="AL454">
        <v>3.7999999999999999E-2</v>
      </c>
      <c r="AM454">
        <v>4.3999999999999997E-2</v>
      </c>
      <c r="AN454">
        <v>3.5000000000000003E-2</v>
      </c>
      <c r="AO454">
        <v>2.8000000000000001E-2</v>
      </c>
      <c r="AP454">
        <v>0.01</v>
      </c>
      <c r="AQ454">
        <v>4.0000000000000001E-3</v>
      </c>
      <c r="AR454">
        <v>5.0000000000000001E-3</v>
      </c>
      <c r="AS454">
        <v>1.7000000000000001E-2</v>
      </c>
      <c r="AT454">
        <v>2.9000000000000001E-2</v>
      </c>
      <c r="AU454">
        <v>3.3000000000000002E-2</v>
      </c>
      <c r="AV454">
        <v>2.5000000000000001E-2</v>
      </c>
      <c r="AW454">
        <v>4.3999999999999997E-2</v>
      </c>
      <c r="AX454">
        <v>4.4999999999999998E-2</v>
      </c>
      <c r="AY454">
        <v>4.2999999999999997E-2</v>
      </c>
      <c r="BD4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10.497485240380835</v>
      </c>
      <c r="BE4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18.101235546463137</v>
      </c>
      <c r="BF4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30.538138881107876</v>
      </c>
      <c r="BG4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43.406024014477929</v>
      </c>
      <c r="BH4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53.441743041938793</v>
      </c>
      <c r="BI4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55.411945550397363</v>
      </c>
      <c r="BJ4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56.304693562042644</v>
      </c>
      <c r="BK4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48.670158841765684</v>
      </c>
      <c r="BL4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34.170699756078378</v>
      </c>
      <c r="BM4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21.949287320796287</v>
      </c>
      <c r="BN4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10.158856684239517</v>
      </c>
      <c r="BO4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8.5888515603115909</v>
      </c>
      <c r="BP454">
        <f>SUM(Таб[[#This Row],[1]:[12]])</f>
        <v>391.23912000000001</v>
      </c>
    </row>
    <row r="455" spans="2:68" ht="25.5">
      <c r="B455" t="s">
        <v>384</v>
      </c>
      <c r="C455" t="str">
        <f>IFERROR(VLOOKUP(Таб[[#This Row],[Зелений Тариф ЕЦ]],Sheet6!$H$9:$I$29,2,FALSE),"")</f>
        <v>Земля</v>
      </c>
      <c r="G455" s="1" t="s">
        <v>1183</v>
      </c>
      <c r="H455" t="s">
        <v>62</v>
      </c>
      <c r="J455" s="7">
        <v>0.99</v>
      </c>
      <c r="K455" s="8"/>
      <c r="L455" s="8">
        <v>43613</v>
      </c>
      <c r="M455">
        <v>5</v>
      </c>
      <c r="N455" s="49" t="s">
        <v>57</v>
      </c>
      <c r="O455">
        <v>2019</v>
      </c>
      <c r="P455">
        <v>0.15029999999999999</v>
      </c>
      <c r="Q455" s="10"/>
      <c r="R455" s="11">
        <f>ROUND(Таб[[#This Row],[Зелений Тариф ЕЦ]]+Таб[[#This Row],[Зелений Тариф ЕЦ]]*Таб[[#This Row],[% надбавки]],4)</f>
        <v>0.15029999999999999</v>
      </c>
      <c r="S455" s="12"/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7.4999999999999997E-2</v>
      </c>
      <c r="AY455">
        <v>0.14899999999999999</v>
      </c>
      <c r="BD4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31.878866220788424</v>
      </c>
      <c r="BE4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54.97000978833897</v>
      </c>
      <c r="BF4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92.738519915020845</v>
      </c>
      <c r="BG4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131.81583979856794</v>
      </c>
      <c r="BH4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162.29240985128649</v>
      </c>
      <c r="BI4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168.27554016838462</v>
      </c>
      <c r="BJ4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170.98664609331968</v>
      </c>
      <c r="BK4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147.80201611456448</v>
      </c>
      <c r="BL4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103.76991643717052</v>
      </c>
      <c r="BM4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66.655811188921234</v>
      </c>
      <c r="BN4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30.850515697537183</v>
      </c>
      <c r="BO4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26.082708726099611</v>
      </c>
      <c r="BP455">
        <f>SUM(Таб[[#This Row],[1]:[12]])</f>
        <v>1188.1188</v>
      </c>
    </row>
    <row r="456" spans="2:68" ht="38.25">
      <c r="B456" t="s">
        <v>384</v>
      </c>
      <c r="C456" t="str">
        <f>IFERROR(VLOOKUP(Таб[[#This Row],[Зелений Тариф ЕЦ]],Sheet6!$H$9:$I$29,2,FALSE),"")</f>
        <v>Земля</v>
      </c>
      <c r="D456" t="s">
        <v>3380</v>
      </c>
      <c r="E456" t="s">
        <v>3380</v>
      </c>
      <c r="F456" t="s">
        <v>3287</v>
      </c>
      <c r="G456" s="1" t="s">
        <v>1186</v>
      </c>
      <c r="H456" t="s">
        <v>69</v>
      </c>
      <c r="J456" s="7">
        <v>12.999000000000001</v>
      </c>
      <c r="K456" s="8"/>
      <c r="L456" s="8">
        <v>43455</v>
      </c>
      <c r="M456">
        <v>12</v>
      </c>
      <c r="N456" s="49" t="s">
        <v>71</v>
      </c>
      <c r="O456">
        <v>2018</v>
      </c>
      <c r="P456">
        <v>0.15029999999999999</v>
      </c>
      <c r="Q456" s="10">
        <v>0.05</v>
      </c>
      <c r="R456" s="11">
        <f>ROUND(Таб[[#This Row],[Зелений Тариф ЕЦ]]+Таб[[#This Row],[Зелений Тариф ЕЦ]]*Таб[[#This Row],[% надбавки]],4)</f>
        <v>0.1578</v>
      </c>
      <c r="S456" s="12">
        <v>43550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1.492</v>
      </c>
      <c r="AU456">
        <v>1.9419999999999999</v>
      </c>
      <c r="AV456">
        <v>2.0990000000000002</v>
      </c>
      <c r="AW456">
        <v>2.2160000000000002</v>
      </c>
      <c r="AX456">
        <v>1.073</v>
      </c>
      <c r="AY456">
        <v>2.1019999999999999</v>
      </c>
      <c r="BD4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418.57917374144313</v>
      </c>
      <c r="BE4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721.77288609961442</v>
      </c>
      <c r="BF4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1217.6848690660163</v>
      </c>
      <c r="BG4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1730.7819207490754</v>
      </c>
      <c r="BH4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2130.9485208655287</v>
      </c>
      <c r="BI4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2209.50883499882</v>
      </c>
      <c r="BJ4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2245.1064773404673</v>
      </c>
      <c r="BK4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1940.6852600739637</v>
      </c>
      <c r="BL4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1362.5304482492725</v>
      </c>
      <c r="BM4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875.21099964119912</v>
      </c>
      <c r="BN4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405.07661974978373</v>
      </c>
      <c r="BO4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342.47386942481705</v>
      </c>
      <c r="BP456">
        <f>SUM(Таб[[#This Row],[1]:[12]])</f>
        <v>15600.359880000002</v>
      </c>
    </row>
    <row r="457" spans="2:68" ht="38.25">
      <c r="B457" t="s">
        <v>384</v>
      </c>
      <c r="C457" t="str">
        <f>IFERROR(VLOOKUP(Таб[[#This Row],[Зелений Тариф ЕЦ]],Sheet6!$H$9:$I$29,2,FALSE),"")</f>
        <v>Земля</v>
      </c>
      <c r="D457" t="s">
        <v>3380</v>
      </c>
      <c r="E457" t="s">
        <v>3380</v>
      </c>
      <c r="F457" t="s">
        <v>3287</v>
      </c>
      <c r="G457" s="1" t="s">
        <v>1190</v>
      </c>
      <c r="H457" t="s">
        <v>69</v>
      </c>
      <c r="I457" t="s">
        <v>1191</v>
      </c>
      <c r="J457" s="7">
        <v>33.148000000000003</v>
      </c>
      <c r="K457" s="8"/>
      <c r="L457" s="8">
        <v>43637</v>
      </c>
      <c r="M457">
        <v>6</v>
      </c>
      <c r="N457" s="49" t="s">
        <v>57</v>
      </c>
      <c r="O457">
        <v>2019</v>
      </c>
      <c r="P457">
        <v>0.15029999999999999</v>
      </c>
      <c r="Q457" s="10">
        <v>0.05</v>
      </c>
      <c r="R457" s="11">
        <f>ROUND(Таб[[#This Row],[Зелений Тариф ЕЦ]]+Таб[[#This Row],[Зелений Тариф ЕЦ]]*Таб[[#This Row],[% надбавки]],4)</f>
        <v>0.1578</v>
      </c>
      <c r="S457" s="12">
        <v>43676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1.3120000000000001</v>
      </c>
      <c r="AY457">
        <v>5.3959999999999999</v>
      </c>
      <c r="BD4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1067.3946035219137</v>
      </c>
      <c r="BE4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1840.5513984483441</v>
      </c>
      <c r="BF4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3105.1479375182939</v>
      </c>
      <c r="BG4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4413.5671289322536</v>
      </c>
      <c r="BH4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5434.0088906570154</v>
      </c>
      <c r="BI4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5634.3410156581958</v>
      </c>
      <c r="BJ4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5725.1165097993562</v>
      </c>
      <c r="BK4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4948.8295254197819</v>
      </c>
      <c r="BL4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3474.5102929892209</v>
      </c>
      <c r="BM4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2231.8250800912742</v>
      </c>
      <c r="BN4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1032.962519537336</v>
      </c>
      <c r="BO4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873.32285742702015</v>
      </c>
      <c r="BP457">
        <f>SUM(Таб[[#This Row],[1]:[12]])</f>
        <v>39781.577760000007</v>
      </c>
    </row>
    <row r="458" spans="2:68" ht="38.25">
      <c r="B458" t="s">
        <v>384</v>
      </c>
      <c r="C458" t="str">
        <f>IFERROR(VLOOKUP(Таб[[#This Row],[Зелений Тариф ЕЦ]],Sheet6!$H$9:$I$29,2,FALSE),"")</f>
        <v>Земля</v>
      </c>
      <c r="F458" t="s">
        <v>3406</v>
      </c>
      <c r="G458" s="1" t="s">
        <v>1193</v>
      </c>
      <c r="H458" t="s">
        <v>65</v>
      </c>
      <c r="J458" s="7">
        <v>10.573</v>
      </c>
      <c r="K458" s="8"/>
      <c r="L458" s="8">
        <v>43529</v>
      </c>
      <c r="M458">
        <v>3</v>
      </c>
      <c r="N458" s="49" t="s">
        <v>67</v>
      </c>
      <c r="O458">
        <v>2019</v>
      </c>
      <c r="P458">
        <v>0.15029999999999999</v>
      </c>
      <c r="Q458" s="10"/>
      <c r="R458" s="11">
        <f>ROUND(Таб[[#This Row],[Зелений Тариф ЕЦ]]+Таб[[#This Row],[Зелений Тариф ЕЦ]]*Таб[[#This Row],[% надбавки]],4)</f>
        <v>0.15029999999999999</v>
      </c>
      <c r="S458" s="12"/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1.3440000000000001</v>
      </c>
      <c r="AW458">
        <v>1.7350000000000001</v>
      </c>
      <c r="AX458">
        <v>1.671</v>
      </c>
      <c r="AY458">
        <v>1.629</v>
      </c>
      <c r="BD4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340.45985106302624</v>
      </c>
      <c r="BE4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587.06859948697775</v>
      </c>
      <c r="BF4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990.4286576378945</v>
      </c>
      <c r="BG4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1407.7665395861202</v>
      </c>
      <c r="BH4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1733.2501508663154</v>
      </c>
      <c r="BI4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1797.148773939728</v>
      </c>
      <c r="BJ4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1826.1028375198678</v>
      </c>
      <c r="BK4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1578.4956731103944</v>
      </c>
      <c r="BL4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1108.2417439294991</v>
      </c>
      <c r="BM4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711.87059767723656</v>
      </c>
      <c r="BN4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329.47727522228348</v>
      </c>
      <c r="BO4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278.55805996065783</v>
      </c>
      <c r="BP458">
        <f>SUM(Таб[[#This Row],[1]:[12]])</f>
        <v>12688.868760000001</v>
      </c>
    </row>
    <row r="459" spans="2:68" ht="38.25">
      <c r="B459" t="s">
        <v>384</v>
      </c>
      <c r="C459" t="str">
        <f>IFERROR(VLOOKUP(Таб[[#This Row],[Зелений Тариф ЕЦ]],Sheet6!$H$9:$I$29,2,FALSE),"")</f>
        <v>Земля</v>
      </c>
      <c r="G459" s="1" t="s">
        <v>1195</v>
      </c>
      <c r="H459" t="s">
        <v>73</v>
      </c>
      <c r="J459" s="7">
        <v>6.8239999999999998</v>
      </c>
      <c r="K459" s="8"/>
      <c r="L459" s="8">
        <v>43637</v>
      </c>
      <c r="M459">
        <v>6</v>
      </c>
      <c r="N459" s="49" t="s">
        <v>57</v>
      </c>
      <c r="O459">
        <v>2019</v>
      </c>
      <c r="P459">
        <v>0.15029999999999999</v>
      </c>
      <c r="Q459" s="10"/>
      <c r="R459" s="11">
        <f>ROUND(Таб[[#This Row],[Зелений Тариф ЕЦ]]+Таб[[#This Row],[Зелений Тариф ЕЦ]]*Таб[[#This Row],[% надбавки]],4)</f>
        <v>0.15029999999999999</v>
      </c>
      <c r="S459" s="12"/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BD4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219.73877079864667</v>
      </c>
      <c r="BE4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378.90439070265165</v>
      </c>
      <c r="BF4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639.24006050515379</v>
      </c>
      <c r="BG4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908.59726341962391</v>
      </c>
      <c r="BH4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1118.6701058840192</v>
      </c>
      <c r="BI4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1159.9114001101582</v>
      </c>
      <c r="BJ4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1178.5988615563774</v>
      </c>
      <c r="BK4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1018.7888464300888</v>
      </c>
      <c r="BL4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715.27869673459759</v>
      </c>
      <c r="BM4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459.45379348807933</v>
      </c>
      <c r="BN4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212.65042335352902</v>
      </c>
      <c r="BO4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179.78626701707452</v>
      </c>
      <c r="BP459">
        <f>SUM(Таб[[#This Row],[1]:[12]])</f>
        <v>8189.6188799999991</v>
      </c>
    </row>
    <row r="460" spans="2:68" ht="38.25">
      <c r="B460" t="s">
        <v>384</v>
      </c>
      <c r="C460" t="str">
        <f>IFERROR(VLOOKUP(Таб[[#This Row],[Зелений Тариф ЕЦ]],Sheet6!$H$9:$I$29,2,FALSE),"")</f>
        <v>Земля</v>
      </c>
      <c r="G460" s="1" t="s">
        <v>1197</v>
      </c>
      <c r="H460" t="s">
        <v>176</v>
      </c>
      <c r="J460" s="7">
        <v>2.746</v>
      </c>
      <c r="K460" s="8"/>
      <c r="L460" s="8">
        <v>43524</v>
      </c>
      <c r="M460">
        <v>2</v>
      </c>
      <c r="N460" s="49" t="s">
        <v>67</v>
      </c>
      <c r="O460">
        <v>2019</v>
      </c>
      <c r="P460">
        <v>0.15029999999999999</v>
      </c>
      <c r="Q460" s="10"/>
      <c r="R460" s="11">
        <f>ROUND(Таб[[#This Row],[Зелений Тариф ЕЦ]]+Таб[[#This Row],[Зелений Тариф ЕЦ]]*Таб[[#This Row],[% надбавки]],4)</f>
        <v>0.15029999999999999</v>
      </c>
      <c r="S460" s="12"/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0.32600000000000001</v>
      </c>
      <c r="AV460">
        <v>0.35399999999999998</v>
      </c>
      <c r="AW460">
        <v>0.45300000000000001</v>
      </c>
      <c r="AX460">
        <v>0.44500000000000001</v>
      </c>
      <c r="AY460">
        <v>0.43</v>
      </c>
      <c r="BD4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88.423602668974752</v>
      </c>
      <c r="BE4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152.47237058462508</v>
      </c>
      <c r="BF4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257.23229867338108</v>
      </c>
      <c r="BG4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365.62252129986621</v>
      </c>
      <c r="BH4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450.15652267841688</v>
      </c>
      <c r="BI4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466.75215485089308</v>
      </c>
      <c r="BJ4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474.27205067904629</v>
      </c>
      <c r="BK4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409.96397601070106</v>
      </c>
      <c r="BL4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287.83049549138411</v>
      </c>
      <c r="BM4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184.88571467149262</v>
      </c>
      <c r="BN4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85.571228389330415</v>
      </c>
      <c r="BO4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72.346584001888431</v>
      </c>
      <c r="BP460">
        <f>SUM(Таб[[#This Row],[1]:[12]])</f>
        <v>3295.5295200000005</v>
      </c>
    </row>
    <row r="461" spans="2:68" ht="38.25">
      <c r="B461" t="s">
        <v>384</v>
      </c>
      <c r="C461" t="str">
        <f>IFERROR(VLOOKUP(Таб[[#This Row],[Зелений Тариф ЕЦ]],Sheet6!$H$9:$I$29,2,FALSE),"")</f>
        <v>Земля</v>
      </c>
      <c r="G461" s="1" t="s">
        <v>1200</v>
      </c>
      <c r="H461" t="s">
        <v>98</v>
      </c>
      <c r="J461" s="7">
        <v>9.9489999999999998</v>
      </c>
      <c r="K461" s="8"/>
      <c r="L461" s="8">
        <v>43455</v>
      </c>
      <c r="M461">
        <v>12</v>
      </c>
      <c r="N461" s="49" t="s">
        <v>71</v>
      </c>
      <c r="O461">
        <v>2018</v>
      </c>
      <c r="P461">
        <v>0.15029999999999999</v>
      </c>
      <c r="Q461" s="10"/>
      <c r="R461" s="11">
        <f>ROUND(Таб[[#This Row],[Зелений Тариф ЕЦ]]+Таб[[#This Row],[Зелений Тариф ЕЦ]]*Таб[[#This Row],[% надбавки]],4)</f>
        <v>0.15029999999999999</v>
      </c>
      <c r="S461" s="12"/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4.8000000000000001E-2</v>
      </c>
      <c r="AS461">
        <v>0.66300000000000003</v>
      </c>
      <c r="AT461">
        <v>0.96199999999999997</v>
      </c>
      <c r="AU461">
        <v>1.232</v>
      </c>
      <c r="AV461">
        <v>1.052</v>
      </c>
      <c r="AW461">
        <v>1.58</v>
      </c>
      <c r="AX461">
        <v>1.478</v>
      </c>
      <c r="AY461">
        <v>1.534</v>
      </c>
      <c r="BD4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320.36650508143839</v>
      </c>
      <c r="BE4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552.4208357416004</v>
      </c>
      <c r="BF4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931.97528750963875</v>
      </c>
      <c r="BG4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1324.6826163191438</v>
      </c>
      <c r="BH4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1630.9567531418679</v>
      </c>
      <c r="BI4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1691.0841910457157</v>
      </c>
      <c r="BJ4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1718.3294363458967</v>
      </c>
      <c r="BK4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1485.3356144684869</v>
      </c>
      <c r="BL4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1042.8352511448579</v>
      </c>
      <c r="BM4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669.85723789755275</v>
      </c>
      <c r="BN4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310.03210169171456</v>
      </c>
      <c r="BO4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262.11804961208588</v>
      </c>
      <c r="BP461">
        <f>SUM(Таб[[#This Row],[1]:[12]])</f>
        <v>11939.99388</v>
      </c>
    </row>
    <row r="462" spans="2:68" ht="38.25">
      <c r="B462" t="s">
        <v>384</v>
      </c>
      <c r="C462" t="str">
        <f>IFERROR(VLOOKUP(Таб[[#This Row],[Зелений Тариф ЕЦ]],Sheet6!$H$9:$I$29,2,FALSE),"")</f>
        <v>Земля</v>
      </c>
      <c r="G462" s="1" t="s">
        <v>1203</v>
      </c>
      <c r="H462" t="s">
        <v>82</v>
      </c>
      <c r="J462" s="7">
        <v>5.34</v>
      </c>
      <c r="K462" s="8"/>
      <c r="L462" s="8">
        <v>43602</v>
      </c>
      <c r="M462">
        <v>5</v>
      </c>
      <c r="N462" s="49" t="s">
        <v>57</v>
      </c>
      <c r="O462">
        <v>2019</v>
      </c>
      <c r="P462">
        <v>0.15029999999999999</v>
      </c>
      <c r="Q462" s="10"/>
      <c r="R462" s="11">
        <f>ROUND(Таб[[#This Row],[Зелений Тариф ЕЦ]]+Таб[[#This Row],[Зелений Тариф ЕЦ]]*Таб[[#This Row],[% надбавки]],4)</f>
        <v>0.15029999999999999</v>
      </c>
      <c r="S462" s="12"/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BD4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171.95267234243451</v>
      </c>
      <c r="BE4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296.50490128255564</v>
      </c>
      <c r="BF4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500.22595590526396</v>
      </c>
      <c r="BG4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711.00665103469987</v>
      </c>
      <c r="BH4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875.39542283421179</v>
      </c>
      <c r="BI4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907.66806515068049</v>
      </c>
      <c r="BJ4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922.29160620033053</v>
      </c>
      <c r="BK4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797.2351172240144</v>
      </c>
      <c r="BL4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559.72864017625318</v>
      </c>
      <c r="BM4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359.53740580690845</v>
      </c>
      <c r="BN4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166.40581194429149</v>
      </c>
      <c r="BO4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140.68855009835551</v>
      </c>
      <c r="BP462">
        <f>SUM(Таб[[#This Row],[1]:[12]])</f>
        <v>6408.6407999999992</v>
      </c>
    </row>
    <row r="463" spans="2:68" ht="51">
      <c r="B463" t="s">
        <v>384</v>
      </c>
      <c r="C463" t="str">
        <f>IFERROR(VLOOKUP(Таб[[#This Row],[Зелений Тариф ЕЦ]],Sheet6!$H$9:$I$29,2,FALSE),"")</f>
        <v>Земля</v>
      </c>
      <c r="G463" s="1" t="s">
        <v>1206</v>
      </c>
      <c r="H463" t="s">
        <v>198</v>
      </c>
      <c r="I463" t="s">
        <v>516</v>
      </c>
      <c r="J463" s="7">
        <v>0.54500000000000004</v>
      </c>
      <c r="K463" s="8"/>
      <c r="L463" s="8">
        <v>42733</v>
      </c>
      <c r="M463">
        <v>12</v>
      </c>
      <c r="N463" s="49" t="s">
        <v>71</v>
      </c>
      <c r="O463">
        <v>2016</v>
      </c>
      <c r="P463">
        <v>0.15989999999999999</v>
      </c>
      <c r="Q463" s="10"/>
      <c r="R463" s="11">
        <f>ROUND(Таб[[#This Row],[Зелений Тариф ЕЦ]]+Таб[[#This Row],[Зелений Тариф ЕЦ]]*Таб[[#This Row],[% надбавки]],4)</f>
        <v>0.15989999999999999</v>
      </c>
      <c r="S463" s="12"/>
      <c r="T463">
        <v>0</v>
      </c>
      <c r="U463">
        <v>2.9000000000000001E-2</v>
      </c>
      <c r="V463">
        <v>5.6000000000000008E-2</v>
      </c>
      <c r="W463">
        <v>7.5999999999999998E-2</v>
      </c>
      <c r="X463">
        <v>8.6999999999999994E-2</v>
      </c>
      <c r="Y463">
        <v>8.8000000000000023E-2</v>
      </c>
      <c r="Z463">
        <v>8.3999999999999964E-2</v>
      </c>
      <c r="AA463">
        <v>8.500000000000002E-2</v>
      </c>
      <c r="AB463">
        <v>5.5000000000000049E-2</v>
      </c>
      <c r="AC463">
        <v>3.5999999999999921E-2</v>
      </c>
      <c r="AD463">
        <v>1.4000000000000012E-2</v>
      </c>
      <c r="AE463">
        <v>1.100000000000001E-2</v>
      </c>
      <c r="AF463">
        <v>2.1000000000000001E-2</v>
      </c>
      <c r="AG463">
        <v>2.4E-2</v>
      </c>
      <c r="AH463">
        <v>4.7E-2</v>
      </c>
      <c r="AI463">
        <v>8.8999999999999996E-2</v>
      </c>
      <c r="AJ463">
        <v>9.0999999999999998E-2</v>
      </c>
      <c r="AK463">
        <v>7.5999999999999998E-2</v>
      </c>
      <c r="AL463">
        <v>7.8E-2</v>
      </c>
      <c r="AM463">
        <v>0.09</v>
      </c>
      <c r="AN463">
        <v>5.7000000000000002E-2</v>
      </c>
      <c r="AO463">
        <v>5.7000000000000002E-2</v>
      </c>
      <c r="AP463">
        <v>1.4999999999999999E-2</v>
      </c>
      <c r="AQ463">
        <v>8.9999999999999993E-3</v>
      </c>
      <c r="AR463">
        <v>1.0999999999999999E-2</v>
      </c>
      <c r="AS463">
        <v>2.5999999999999999E-2</v>
      </c>
      <c r="AT463">
        <v>5.3999999999999999E-2</v>
      </c>
      <c r="AU463">
        <v>6.5000000000000002E-2</v>
      </c>
      <c r="AV463">
        <v>7.0000000000000007E-2</v>
      </c>
      <c r="AW463">
        <v>0.08</v>
      </c>
      <c r="AX463">
        <v>0.08</v>
      </c>
      <c r="AY463">
        <v>8.2000000000000003E-2</v>
      </c>
      <c r="BD4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17.549476858918879</v>
      </c>
      <c r="BE4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30.26126801479267</v>
      </c>
      <c r="BF4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51.053023589582182</v>
      </c>
      <c r="BG4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72.565285545676289</v>
      </c>
      <c r="BH4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89.342791281768825</v>
      </c>
      <c r="BI4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92.636534739161235</v>
      </c>
      <c r="BJ4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94.129012243292152</v>
      </c>
      <c r="BK4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81.365756345896614</v>
      </c>
      <c r="BL4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57.125863089149419</v>
      </c>
      <c r="BM4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36.694360705012194</v>
      </c>
      <c r="BN4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16.983364702179561</v>
      </c>
      <c r="BO4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14.358662884569991</v>
      </c>
      <c r="BP463">
        <f>SUM(Таб[[#This Row],[1]:[12]])</f>
        <v>654.06539999999995</v>
      </c>
    </row>
    <row r="464" spans="2:68" ht="25.5">
      <c r="B464" t="s">
        <v>384</v>
      </c>
      <c r="C464" t="str">
        <f>IFERROR(VLOOKUP(Таб[[#This Row],[Зелений Тариф ЕЦ]],Sheet6!$H$9:$I$29,2,FALSE),"")</f>
        <v>Земля</v>
      </c>
      <c r="G464" s="1" t="s">
        <v>1208</v>
      </c>
      <c r="H464" t="s">
        <v>65</v>
      </c>
      <c r="I464" t="s">
        <v>247</v>
      </c>
      <c r="J464" s="7">
        <v>5.0720000000000001</v>
      </c>
      <c r="K464" s="8"/>
      <c r="L464" s="8">
        <v>43111</v>
      </c>
      <c r="M464">
        <v>1</v>
      </c>
      <c r="N464" s="49" t="s">
        <v>67</v>
      </c>
      <c r="O464">
        <v>2018</v>
      </c>
      <c r="P464">
        <v>0.15029999999999999</v>
      </c>
      <c r="Q464" s="10"/>
      <c r="R464" s="11">
        <f>ROUND(Таб[[#This Row],[Зелений Тариф ЕЦ]]+Таб[[#This Row],[Зелений Тариф ЕЦ]]*Таб[[#This Row],[% надбавки]],4)</f>
        <v>0.15029999999999999</v>
      </c>
      <c r="S464" s="12"/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0.191</v>
      </c>
      <c r="AG464">
        <v>0.155</v>
      </c>
      <c r="AH464">
        <v>0.35099999999999998</v>
      </c>
      <c r="AI464">
        <v>0.746</v>
      </c>
      <c r="AJ464">
        <v>0.79900000000000004</v>
      </c>
      <c r="AK464">
        <v>0.622</v>
      </c>
      <c r="AL464">
        <v>0.66400000000000003</v>
      </c>
      <c r="AM464">
        <v>0.75600000000000001</v>
      </c>
      <c r="AN464">
        <v>0.624</v>
      </c>
      <c r="AO464">
        <v>0.502</v>
      </c>
      <c r="AP464">
        <v>0.124</v>
      </c>
      <c r="AQ464">
        <v>7.0000000000000007E-2</v>
      </c>
      <c r="AR464">
        <v>7.9000000000000001E-2</v>
      </c>
      <c r="AS464">
        <v>0.33800000000000002</v>
      </c>
      <c r="AT464">
        <v>0.52800000000000002</v>
      </c>
      <c r="AU464">
        <v>0.59399999999999997</v>
      </c>
      <c r="AV464">
        <v>0.53700000000000003</v>
      </c>
      <c r="AW464">
        <v>0.78100000000000003</v>
      </c>
      <c r="AX464">
        <v>0.76800000000000002</v>
      </c>
      <c r="AY464">
        <v>0.746</v>
      </c>
      <c r="BD4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163.3228378503423</v>
      </c>
      <c r="BE4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281.62413095601545</v>
      </c>
      <c r="BF4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475.12098283735929</v>
      </c>
      <c r="BG4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675.32317117003697</v>
      </c>
      <c r="BH4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831.46171996537896</v>
      </c>
      <c r="BI4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862.11468660004732</v>
      </c>
      <c r="BJ4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876.00431210638135</v>
      </c>
      <c r="BK4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757.2240663970415</v>
      </c>
      <c r="BL4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531.63739007002926</v>
      </c>
      <c r="BM4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341.49320641435202</v>
      </c>
      <c r="BN4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158.05435921000867</v>
      </c>
      <c r="BO4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133.6277764230073</v>
      </c>
      <c r="BP464">
        <f>SUM(Таб[[#This Row],[1]:[12]])</f>
        <v>6087.00864</v>
      </c>
    </row>
    <row r="465" spans="2:68" ht="51">
      <c r="B465" t="s">
        <v>384</v>
      </c>
      <c r="C465" t="str">
        <f>IFERROR(VLOOKUP(Таб[[#This Row],[Зелений Тариф ЕЦ]],Sheet6!$H$9:$I$29,2,FALSE),"")</f>
        <v>Земля</v>
      </c>
      <c r="G465" s="1" t="s">
        <v>1211</v>
      </c>
      <c r="H465" t="s">
        <v>122</v>
      </c>
      <c r="I465" t="s">
        <v>369</v>
      </c>
      <c r="J465" s="7">
        <v>0.6</v>
      </c>
      <c r="K465" s="8"/>
      <c r="L465" s="8">
        <v>42803</v>
      </c>
      <c r="M465">
        <v>3</v>
      </c>
      <c r="N465" s="49" t="s">
        <v>67</v>
      </c>
      <c r="O465">
        <v>2017</v>
      </c>
      <c r="P465">
        <v>0.15989999999999999</v>
      </c>
      <c r="Q465" s="10"/>
      <c r="R465" s="11">
        <f>ROUND(Таб[[#This Row],[Зелений Тариф ЕЦ]]+Таб[[#This Row],[Зелений Тариф ЕЦ]]*Таб[[#This Row],[% надбавки]],4)</f>
        <v>0.15989999999999999</v>
      </c>
      <c r="S465" s="12"/>
      <c r="T465">
        <v>0</v>
      </c>
      <c r="U465">
        <v>0</v>
      </c>
      <c r="V465">
        <v>0</v>
      </c>
      <c r="W465">
        <v>0</v>
      </c>
      <c r="X465">
        <v>0</v>
      </c>
      <c r="Y465">
        <v>0.104</v>
      </c>
      <c r="Z465">
        <v>9.6000000000000016E-2</v>
      </c>
      <c r="AA465">
        <v>9.4999999999999973E-2</v>
      </c>
      <c r="AB465">
        <v>8.500000000000002E-2</v>
      </c>
      <c r="AC465">
        <v>3.2999999999999974E-2</v>
      </c>
      <c r="AD465">
        <v>1.6000000000000014E-2</v>
      </c>
      <c r="AE465">
        <v>9.000000000000008E-3</v>
      </c>
      <c r="AF465">
        <v>1.4E-2</v>
      </c>
      <c r="AG465">
        <v>2.4E-2</v>
      </c>
      <c r="AH465">
        <v>4.9000000000000002E-2</v>
      </c>
      <c r="AI465">
        <v>8.8999999999999996E-2</v>
      </c>
      <c r="AJ465">
        <v>0.105</v>
      </c>
      <c r="AK465">
        <v>0.104</v>
      </c>
      <c r="AL465">
        <v>8.8999999999999996E-2</v>
      </c>
      <c r="AM465">
        <v>0.107</v>
      </c>
      <c r="AN465">
        <v>6.6000000000000003E-2</v>
      </c>
      <c r="AO465">
        <v>6.4000000000000001E-2</v>
      </c>
      <c r="AP465">
        <v>2.5999999999999999E-2</v>
      </c>
      <c r="AQ465">
        <v>5.0000000000000001E-3</v>
      </c>
      <c r="AR465">
        <v>1.2E-2</v>
      </c>
      <c r="AS465">
        <v>2.5999999999999999E-2</v>
      </c>
      <c r="AT465">
        <v>6.4000000000000001E-2</v>
      </c>
      <c r="AU465">
        <v>8.3000000000000004E-2</v>
      </c>
      <c r="AV465">
        <v>0.193</v>
      </c>
      <c r="AW465">
        <v>0.217</v>
      </c>
      <c r="AX465">
        <v>0.10299999999999999</v>
      </c>
      <c r="AY465">
        <v>9.6000000000000002E-2</v>
      </c>
      <c r="BD4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19.320524982296014</v>
      </c>
      <c r="BE4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33.315157447478164</v>
      </c>
      <c r="BF4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56.205163584861126</v>
      </c>
      <c r="BG4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79.888387756707843</v>
      </c>
      <c r="BH4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98.359036273506945</v>
      </c>
      <c r="BI4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101.98517585962703</v>
      </c>
      <c r="BJ4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103.6282703595877</v>
      </c>
      <c r="BK4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89.576979463372425</v>
      </c>
      <c r="BL4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62.890858446770011</v>
      </c>
      <c r="BM4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40.397461326618931</v>
      </c>
      <c r="BN4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18.697282240931624</v>
      </c>
      <c r="BO4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15.807702258242191</v>
      </c>
      <c r="BP465">
        <f>SUM(Таб[[#This Row],[1]:[12]])</f>
        <v>720.072</v>
      </c>
    </row>
    <row r="466" spans="2:68" ht="51">
      <c r="B466" t="s">
        <v>384</v>
      </c>
      <c r="C466" t="str">
        <f>IFERROR(VLOOKUP(Таб[[#This Row],[Зелений Тариф ЕЦ]],Sheet6!$H$9:$I$29,2,FALSE),"")</f>
        <v>Земля</v>
      </c>
      <c r="G466" s="1" t="s">
        <v>1211</v>
      </c>
      <c r="H466" t="s">
        <v>122</v>
      </c>
      <c r="I466" t="s">
        <v>369</v>
      </c>
      <c r="J466" s="7">
        <v>0.69499999999999995</v>
      </c>
      <c r="K466" s="8"/>
      <c r="L466" s="8">
        <v>43476</v>
      </c>
      <c r="M466">
        <v>1</v>
      </c>
      <c r="N466" s="49" t="s">
        <v>67</v>
      </c>
      <c r="O466">
        <v>2019</v>
      </c>
      <c r="P466">
        <v>0.15029999999999999</v>
      </c>
      <c r="Q466" s="10"/>
      <c r="R466" s="11">
        <f>ROUND(Таб[[#This Row],[Зелений Тариф ЕЦ]]+Таб[[#This Row],[Зелений Тариф ЕЦ]]*Таб[[#This Row],[% надбавки]],4)</f>
        <v>0.15029999999999999</v>
      </c>
      <c r="S466" s="12"/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0.113</v>
      </c>
      <c r="AY466">
        <v>0.106</v>
      </c>
      <c r="BD4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22.379608104492881</v>
      </c>
      <c r="BE4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38.590057376662202</v>
      </c>
      <c r="BF4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65.10431448579746</v>
      </c>
      <c r="BG4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92.537382484853239</v>
      </c>
      <c r="BH4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113.93255035014556</v>
      </c>
      <c r="BI4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118.13282870406798</v>
      </c>
      <c r="BJ4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120.03607983318906</v>
      </c>
      <c r="BK4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103.76000121173972</v>
      </c>
      <c r="BL4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72.848577700841929</v>
      </c>
      <c r="BM4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46.793726036666925</v>
      </c>
      <c r="BN4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21.657685262412464</v>
      </c>
      <c r="BO4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18.310588449130535</v>
      </c>
      <c r="BP466">
        <f>SUM(Таб[[#This Row],[1]:[12]])</f>
        <v>834.08339999999998</v>
      </c>
    </row>
    <row r="467" spans="2:68" ht="38.25">
      <c r="B467" t="s">
        <v>384</v>
      </c>
      <c r="C467" t="str">
        <f>IFERROR(VLOOKUP(Таб[[#This Row],[Зелений Тариф ЕЦ]],Sheet6!$H$9:$I$29,2,FALSE),"")</f>
        <v>Земля</v>
      </c>
      <c r="G467" s="1" t="s">
        <v>1215</v>
      </c>
      <c r="H467" t="s">
        <v>65</v>
      </c>
      <c r="I467" t="s">
        <v>247</v>
      </c>
      <c r="J467" s="7">
        <v>4.048</v>
      </c>
      <c r="K467" s="8"/>
      <c r="L467" s="8">
        <v>42905</v>
      </c>
      <c r="M467">
        <v>6</v>
      </c>
      <c r="N467" s="49" t="s">
        <v>57</v>
      </c>
      <c r="O467">
        <v>2017</v>
      </c>
      <c r="P467">
        <v>0.15989999999999999</v>
      </c>
      <c r="Q467" s="10"/>
      <c r="R467" s="11">
        <f>ROUND(Таб[[#This Row],[Зелений Тариф ЕЦ]]+Таб[[#This Row],[Зелений Тариф ЕЦ]]*Таб[[#This Row],[% надбавки]],4)</f>
        <v>0.15989999999999999</v>
      </c>
      <c r="S467" s="12"/>
      <c r="T467">
        <v>0</v>
      </c>
      <c r="U467">
        <v>0</v>
      </c>
      <c r="V467">
        <v>0</v>
      </c>
      <c r="W467">
        <v>0</v>
      </c>
      <c r="X467">
        <v>0</v>
      </c>
      <c r="Y467">
        <v>0.17100000000000001</v>
      </c>
      <c r="Z467">
        <v>0.60299999999999998</v>
      </c>
      <c r="AA467">
        <v>0.60799999999999987</v>
      </c>
      <c r="AB467">
        <v>0.42200000000000015</v>
      </c>
      <c r="AC467">
        <v>0.34599999999999986</v>
      </c>
      <c r="AD467">
        <v>0.11100000000000021</v>
      </c>
      <c r="AE467">
        <v>9.3999999999999861E-2</v>
      </c>
      <c r="AF467">
        <v>0.16</v>
      </c>
      <c r="AG467">
        <v>0.129</v>
      </c>
      <c r="AH467">
        <v>0.28799999999999998</v>
      </c>
      <c r="AI467">
        <v>0.60099999999999998</v>
      </c>
      <c r="AJ467">
        <v>0.61699999999999999</v>
      </c>
      <c r="AK467">
        <v>0.49399999999999999</v>
      </c>
      <c r="AL467">
        <v>0.53300000000000003</v>
      </c>
      <c r="AM467">
        <v>0.60099999999999998</v>
      </c>
      <c r="AN467">
        <v>0.499</v>
      </c>
      <c r="AO467">
        <v>0.40300000000000002</v>
      </c>
      <c r="AP467">
        <v>0.10199999999999999</v>
      </c>
      <c r="AQ467">
        <v>5.8000000000000003E-2</v>
      </c>
      <c r="AR467">
        <v>6.8000000000000005E-2</v>
      </c>
      <c r="AS467">
        <v>0.27300000000000002</v>
      </c>
      <c r="AT467">
        <v>0.42599999999999999</v>
      </c>
      <c r="AU467">
        <v>0.47799999999999998</v>
      </c>
      <c r="AV467">
        <v>0.46300000000000002</v>
      </c>
      <c r="AW467">
        <v>0.60199999999999998</v>
      </c>
      <c r="AX467">
        <v>0.63</v>
      </c>
      <c r="AY467">
        <v>0.59099999999999997</v>
      </c>
      <c r="BD4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130.34914188055708</v>
      </c>
      <c r="BE4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224.76626224565274</v>
      </c>
      <c r="BF4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379.19750365252975</v>
      </c>
      <c r="BG4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538.98032273192234</v>
      </c>
      <c r="BH4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663.59563139192699</v>
      </c>
      <c r="BI4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688.05998646628382</v>
      </c>
      <c r="BJ4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699.14539735935159</v>
      </c>
      <c r="BK4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604.34602144621931</v>
      </c>
      <c r="BL4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424.303658320875</v>
      </c>
      <c r="BM4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272.5482057502557</v>
      </c>
      <c r="BN4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126.14433085215204</v>
      </c>
      <c r="BO4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106.64929790227399</v>
      </c>
      <c r="BP467">
        <f>SUM(Таб[[#This Row],[1]:[12]])</f>
        <v>4858.0857600000008</v>
      </c>
    </row>
    <row r="468" spans="2:68" ht="63.75">
      <c r="B468" t="s">
        <v>384</v>
      </c>
      <c r="C468" t="str">
        <f>IFERROR(VLOOKUP(Таб[[#This Row],[Зелений Тариф ЕЦ]],Sheet6!$H$9:$I$29,2,FALSE),"")</f>
        <v>Земля</v>
      </c>
      <c r="G468" s="1" t="s">
        <v>1217</v>
      </c>
      <c r="H468" t="s">
        <v>107</v>
      </c>
      <c r="I468" t="s">
        <v>3309</v>
      </c>
      <c r="J468" s="7">
        <v>0.40500000000000003</v>
      </c>
      <c r="K468" s="8"/>
      <c r="L468" s="8">
        <v>42838</v>
      </c>
      <c r="M468">
        <v>4</v>
      </c>
      <c r="N468" s="49" t="s">
        <v>57</v>
      </c>
      <c r="O468">
        <v>2017</v>
      </c>
      <c r="P468">
        <v>0.15029999999999999</v>
      </c>
      <c r="Q468" s="10"/>
      <c r="R468" s="11">
        <f>ROUND(Таб[[#This Row],[Зелений Тариф ЕЦ]]+Таб[[#This Row],[Зелений Тариф ЕЦ]]*Таб[[#This Row],[% надбавки]],4)</f>
        <v>0.15029999999999999</v>
      </c>
      <c r="S468" s="12"/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5.1999999999999998E-2</v>
      </c>
      <c r="AB468">
        <v>4.1000000000000002E-2</v>
      </c>
      <c r="AC468">
        <v>1.7000000000000001E-2</v>
      </c>
      <c r="AD468">
        <v>7.9999999999999932E-3</v>
      </c>
      <c r="AE468">
        <v>4.0000000000000036E-3</v>
      </c>
      <c r="AF468">
        <v>5.0000000000000001E-3</v>
      </c>
      <c r="AG468">
        <v>1.2999999999999999E-2</v>
      </c>
      <c r="AH468">
        <v>2.5000000000000001E-2</v>
      </c>
      <c r="AI468">
        <v>5.5E-2</v>
      </c>
      <c r="AJ468">
        <v>6.2E-2</v>
      </c>
      <c r="AK468">
        <v>5.6000000000000001E-2</v>
      </c>
      <c r="AL468">
        <v>4.9000000000000002E-2</v>
      </c>
      <c r="AM468">
        <v>6.2E-2</v>
      </c>
      <c r="AN468">
        <v>4.2999999999999997E-2</v>
      </c>
      <c r="AO468">
        <v>3.3000000000000002E-2</v>
      </c>
      <c r="AP468">
        <v>1.2E-2</v>
      </c>
      <c r="AQ468">
        <v>0</v>
      </c>
      <c r="AR468">
        <v>6.0000000000000001E-3</v>
      </c>
      <c r="AS468">
        <v>1.7000000000000001E-2</v>
      </c>
      <c r="AT468">
        <v>0.04</v>
      </c>
      <c r="AU468">
        <v>4.5999999999999999E-2</v>
      </c>
      <c r="AV468">
        <v>5.1999999999999998E-2</v>
      </c>
      <c r="AW468">
        <v>0.05</v>
      </c>
      <c r="AX468">
        <v>5.3999999999999999E-2</v>
      </c>
      <c r="AY468">
        <v>5.0999999999999997E-2</v>
      </c>
      <c r="BD4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13.041354363049809</v>
      </c>
      <c r="BE4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22.487731277047764</v>
      </c>
      <c r="BF4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37.938485419781259</v>
      </c>
      <c r="BG4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53.924661735777789</v>
      </c>
      <c r="BH4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66.392349484617199</v>
      </c>
      <c r="BI4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68.839993705248261</v>
      </c>
      <c r="BJ4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69.949082492721701</v>
      </c>
      <c r="BK4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60.464461137776397</v>
      </c>
      <c r="BL4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42.451329451569762</v>
      </c>
      <c r="BM4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27.268286395467776</v>
      </c>
      <c r="BN4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12.620665512628847</v>
      </c>
      <c r="BO4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10.670199024313479</v>
      </c>
      <c r="BP468">
        <f>SUM(Таб[[#This Row],[1]:[12]])</f>
        <v>486.04860000000002</v>
      </c>
    </row>
    <row r="469" spans="2:68" ht="38.25">
      <c r="B469" t="s">
        <v>384</v>
      </c>
      <c r="C469" t="str">
        <f>IFERROR(VLOOKUP(Таб[[#This Row],[Зелений Тариф ЕЦ]],Sheet6!$H$9:$I$29,2,FALSE),"")</f>
        <v>Земля</v>
      </c>
      <c r="G469" s="1" t="s">
        <v>1221</v>
      </c>
      <c r="H469" t="s">
        <v>65</v>
      </c>
      <c r="I469" t="s">
        <v>454</v>
      </c>
      <c r="J469" s="7">
        <v>4.1269999999999998</v>
      </c>
      <c r="K469" s="8"/>
      <c r="L469" s="8">
        <v>42681</v>
      </c>
      <c r="M469">
        <v>11</v>
      </c>
      <c r="N469" s="49" t="s">
        <v>71</v>
      </c>
      <c r="O469">
        <v>2016</v>
      </c>
      <c r="P469">
        <v>0.15989999999999999</v>
      </c>
      <c r="Q469" s="10"/>
      <c r="R469" s="11">
        <f>ROUND(Таб[[#This Row],[Зелений Тариф ЕЦ]]+Таб[[#This Row],[Зелений Тариф ЕЦ]]*Таб[[#This Row],[% надбавки]],4)</f>
        <v>0.15989999999999999</v>
      </c>
      <c r="S469" s="12"/>
      <c r="T469">
        <v>0</v>
      </c>
      <c r="U469">
        <v>0</v>
      </c>
      <c r="V469">
        <v>0</v>
      </c>
      <c r="W469">
        <v>0.40699999999999997</v>
      </c>
      <c r="X469">
        <v>0.54600000000000004</v>
      </c>
      <c r="Y469">
        <v>0.63200000000000001</v>
      </c>
      <c r="Z469">
        <v>0.6379999999999999</v>
      </c>
      <c r="AA469">
        <v>0.59400000000000031</v>
      </c>
      <c r="AB469">
        <v>0.44099999999999984</v>
      </c>
      <c r="AC469">
        <v>0.34299999999999997</v>
      </c>
      <c r="AD469">
        <v>0.11900000000000022</v>
      </c>
      <c r="AE469">
        <v>0.16199999999999992</v>
      </c>
      <c r="AF469">
        <v>0.125</v>
      </c>
      <c r="AG469">
        <v>0.106</v>
      </c>
      <c r="AH469">
        <v>0.27700000000000002</v>
      </c>
      <c r="AI469">
        <v>0.54500000000000004</v>
      </c>
      <c r="AJ469">
        <v>0.63200000000000001</v>
      </c>
      <c r="AK469">
        <v>0.49399999999999999</v>
      </c>
      <c r="AL469">
        <v>0.54800000000000004</v>
      </c>
      <c r="AM469">
        <v>0.60399999999999998</v>
      </c>
      <c r="AN469">
        <v>0.50600000000000001</v>
      </c>
      <c r="AO469">
        <v>0.40799999999999997</v>
      </c>
      <c r="AP469">
        <v>0.14000000000000001</v>
      </c>
      <c r="AQ469">
        <v>6.9000000000000006E-2</v>
      </c>
      <c r="AR469">
        <v>7.6999999999999999E-2</v>
      </c>
      <c r="AS469">
        <v>0.26300000000000001</v>
      </c>
      <c r="AT469">
        <v>0.42899999999999999</v>
      </c>
      <c r="AU469">
        <v>0.48099999999999998</v>
      </c>
      <c r="AV469">
        <v>0.49399999999999999</v>
      </c>
      <c r="AW469">
        <v>0.64500000000000002</v>
      </c>
      <c r="AX469">
        <v>0.63900000000000001</v>
      </c>
      <c r="AY469">
        <v>0.60299999999999998</v>
      </c>
      <c r="BD4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132.89301100322606</v>
      </c>
      <c r="BE4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229.1527579762373</v>
      </c>
      <c r="BF4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386.59785019120307</v>
      </c>
      <c r="BG4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549.49896045322214</v>
      </c>
      <c r="BH4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676.54623783460534</v>
      </c>
      <c r="BI4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701.4880346211346</v>
      </c>
      <c r="BJ4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712.78978629003063</v>
      </c>
      <c r="BK4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616.14032374222984</v>
      </c>
      <c r="BL4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432.58428801636637</v>
      </c>
      <c r="BM4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277.86720482492717</v>
      </c>
      <c r="BN4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128.60613968054136</v>
      </c>
      <c r="BO4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108.73064536627585</v>
      </c>
      <c r="BP469">
        <f>SUM(Таб[[#This Row],[1]:[12]])</f>
        <v>4952.8952400000007</v>
      </c>
    </row>
    <row r="470" spans="2:68" ht="38.25">
      <c r="B470" t="s">
        <v>384</v>
      </c>
      <c r="C470" t="str">
        <f>IFERROR(VLOOKUP(Таб[[#This Row],[Зелений Тариф ЕЦ]],Sheet6!$H$9:$I$29,2,FALSE),"")</f>
        <v>Земля</v>
      </c>
      <c r="G470" s="1" t="s">
        <v>1221</v>
      </c>
      <c r="H470" t="s">
        <v>65</v>
      </c>
      <c r="I470" t="s">
        <v>454</v>
      </c>
      <c r="J470" s="7">
        <v>2.9969999999999999</v>
      </c>
      <c r="K470" s="8"/>
      <c r="L470" s="8">
        <v>43046</v>
      </c>
      <c r="M470">
        <v>11</v>
      </c>
      <c r="N470" s="49" t="s">
        <v>71</v>
      </c>
      <c r="O470">
        <v>2017</v>
      </c>
      <c r="P470">
        <v>0.15029999999999999</v>
      </c>
      <c r="Q470" s="10"/>
      <c r="R470" s="11">
        <f>ROUND(Таб[[#This Row],[Зелений Тариф ЕЦ]]+Таб[[#This Row],[Зелений Тариф ЕЦ]]*Таб[[#This Row],[% надбавки]],4)</f>
        <v>0.15029999999999999</v>
      </c>
      <c r="S470" s="12"/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0.105</v>
      </c>
      <c r="AG470">
        <v>8.8999999999999996E-2</v>
      </c>
      <c r="AH470">
        <v>0.221</v>
      </c>
      <c r="AI470">
        <v>0.42099999999999999</v>
      </c>
      <c r="AJ470">
        <v>0.45500000000000002</v>
      </c>
      <c r="AK470">
        <v>0.36599999999999999</v>
      </c>
      <c r="AL470">
        <v>0.40400000000000003</v>
      </c>
      <c r="AM470">
        <v>0.438</v>
      </c>
      <c r="AN470">
        <v>0.374</v>
      </c>
      <c r="AO470">
        <v>0.30499999999999999</v>
      </c>
      <c r="AP470">
        <v>8.7999999999999995E-2</v>
      </c>
      <c r="AQ470">
        <v>4.9000000000000002E-2</v>
      </c>
      <c r="AR470">
        <v>6.2E-2</v>
      </c>
      <c r="AS470">
        <v>0.20300000000000001</v>
      </c>
      <c r="AT470">
        <v>0.31</v>
      </c>
      <c r="AU470">
        <v>0.34599999999999997</v>
      </c>
      <c r="AV470">
        <v>0.35499999999999998</v>
      </c>
      <c r="AW470">
        <v>0.46700000000000003</v>
      </c>
      <c r="AX470">
        <v>0.46400000000000002</v>
      </c>
      <c r="AY470">
        <v>0.45200000000000001</v>
      </c>
      <c r="BD4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96.506022286568594</v>
      </c>
      <c r="BE4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166.40921145015344</v>
      </c>
      <c r="BF4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280.74479210638128</v>
      </c>
      <c r="BG4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399.04249684475565</v>
      </c>
      <c r="BH4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491.3033861861673</v>
      </c>
      <c r="BI4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509.41595341883703</v>
      </c>
      <c r="BJ4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517.62321044614043</v>
      </c>
      <c r="BK4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447.43701241954523</v>
      </c>
      <c r="BL4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314.13983794161618</v>
      </c>
      <c r="BM4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201.78531932646155</v>
      </c>
      <c r="BN4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93.392924793453474</v>
      </c>
      <c r="BO4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78.959472779919736</v>
      </c>
      <c r="BP470">
        <f>SUM(Таб[[#This Row],[1]:[12]])</f>
        <v>3596.7596399999998</v>
      </c>
    </row>
    <row r="471" spans="2:68" ht="38.25">
      <c r="B471" t="s">
        <v>384</v>
      </c>
      <c r="C471" t="str">
        <f>IFERROR(VLOOKUP(Таб[[#This Row],[Зелений Тариф ЕЦ]],Sheet6!$H$9:$I$29,2,FALSE),"")</f>
        <v>Земля</v>
      </c>
      <c r="G471" s="1" t="s">
        <v>1226</v>
      </c>
      <c r="H471" t="s">
        <v>122</v>
      </c>
      <c r="J471" s="7">
        <v>1.9890000000000001</v>
      </c>
      <c r="K471" s="8"/>
      <c r="L471" s="8">
        <v>41536</v>
      </c>
      <c r="M471">
        <v>9</v>
      </c>
      <c r="N471" s="49" t="s">
        <v>60</v>
      </c>
      <c r="O471">
        <v>2013</v>
      </c>
      <c r="P471">
        <v>0.33929999999999999</v>
      </c>
      <c r="Q471" s="10"/>
      <c r="R471" s="11">
        <f>ROUND(Таб[[#This Row],[Зелений Тариф ЕЦ]]+Таб[[#This Row],[Зелений Тариф ЕЦ]]*Таб[[#This Row],[% надбавки]],4)</f>
        <v>0.33929999999999999</v>
      </c>
      <c r="S471" s="12"/>
      <c r="T471">
        <v>7.8E-2</v>
      </c>
      <c r="U471">
        <v>0.12100000000000001</v>
      </c>
      <c r="V471">
        <v>0.19800000000000001</v>
      </c>
      <c r="W471">
        <v>0.24099999999999999</v>
      </c>
      <c r="X471">
        <v>0.31799999999999995</v>
      </c>
      <c r="Y471">
        <v>0.33400000000000007</v>
      </c>
      <c r="Z471">
        <v>0.31299999999999994</v>
      </c>
      <c r="AA471">
        <v>0.28400000000000003</v>
      </c>
      <c r="AB471">
        <v>0.27099999999999991</v>
      </c>
      <c r="AC471">
        <v>0.12599999999999989</v>
      </c>
      <c r="AD471">
        <v>6.2000000000000277E-2</v>
      </c>
      <c r="AE471">
        <v>2.8999999999999915E-2</v>
      </c>
      <c r="AF471">
        <v>0.06</v>
      </c>
      <c r="AG471">
        <v>7.1999999999999995E-2</v>
      </c>
      <c r="AH471">
        <v>0.161</v>
      </c>
      <c r="AI471">
        <v>0.29299999999999998</v>
      </c>
      <c r="AJ471">
        <v>0.317</v>
      </c>
      <c r="AK471">
        <v>0.31</v>
      </c>
      <c r="AL471">
        <v>0.29199999999999998</v>
      </c>
      <c r="AM471">
        <v>0.32500000000000001</v>
      </c>
      <c r="AN471">
        <v>0.21099999999999999</v>
      </c>
      <c r="AO471">
        <v>0.218</v>
      </c>
      <c r="AP471">
        <v>7.4999999999999997E-2</v>
      </c>
      <c r="AQ471">
        <v>2.1000000000000001E-2</v>
      </c>
      <c r="AR471">
        <v>4.1000000000000002E-2</v>
      </c>
      <c r="AS471">
        <v>9.4E-2</v>
      </c>
      <c r="AT471">
        <v>0.21199999999999999</v>
      </c>
      <c r="AU471">
        <v>0.27100000000000002</v>
      </c>
      <c r="AV471">
        <v>0.28299999999999997</v>
      </c>
      <c r="AW471">
        <v>0.307</v>
      </c>
      <c r="AX471">
        <v>0.32500000000000001</v>
      </c>
      <c r="AY471">
        <v>0.29499999999999998</v>
      </c>
      <c r="BD4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64.047540316311284</v>
      </c>
      <c r="BE4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110.43974693839013</v>
      </c>
      <c r="BF4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186.3201172838146</v>
      </c>
      <c r="BG4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264.8300054134865</v>
      </c>
      <c r="BH4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326.06020524667559</v>
      </c>
      <c r="BI4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338.08085797466362</v>
      </c>
      <c r="BJ4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343.52771624203325</v>
      </c>
      <c r="BK4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296.94768692107959</v>
      </c>
      <c r="BL4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208.48319575104259</v>
      </c>
      <c r="BM4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133.91758429774177</v>
      </c>
      <c r="BN4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61.981490628688348</v>
      </c>
      <c r="BO4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52.402532986072863</v>
      </c>
      <c r="BP471">
        <f>SUM(Таб[[#This Row],[1]:[12]])</f>
        <v>2387.0386800000001</v>
      </c>
    </row>
    <row r="472" spans="2:68" ht="38.25">
      <c r="B472" t="s">
        <v>384</v>
      </c>
      <c r="C472" t="str">
        <f>IFERROR(VLOOKUP(Таб[[#This Row],[Зелений Тариф ЕЦ]],Sheet6!$H$9:$I$29,2,FALSE),"")</f>
        <v>Земля</v>
      </c>
      <c r="G472" s="1" t="s">
        <v>1226</v>
      </c>
      <c r="H472" t="s">
        <v>122</v>
      </c>
      <c r="J472" s="7">
        <v>2.9550000000000001</v>
      </c>
      <c r="K472" s="8"/>
      <c r="L472" s="8">
        <v>42780</v>
      </c>
      <c r="M472">
        <v>2</v>
      </c>
      <c r="N472" s="49" t="s">
        <v>67</v>
      </c>
      <c r="O472">
        <v>2017</v>
      </c>
      <c r="P472">
        <v>0.15989999999999999</v>
      </c>
      <c r="Q472" s="10"/>
      <c r="R472" s="11">
        <f>ROUND(Таб[[#This Row],[Зелений Тариф ЕЦ]]+Таб[[#This Row],[Зелений Тариф ЕЦ]]*Таб[[#This Row],[% надбавки]],4)</f>
        <v>0.15989999999999999</v>
      </c>
      <c r="S472" s="12"/>
      <c r="T472">
        <v>0</v>
      </c>
      <c r="U472">
        <v>0</v>
      </c>
      <c r="V472">
        <v>0</v>
      </c>
      <c r="W472">
        <v>0</v>
      </c>
      <c r="X472">
        <v>0.5</v>
      </c>
      <c r="Y472">
        <v>0.44299999999999995</v>
      </c>
      <c r="Z472">
        <v>0.46400000000000008</v>
      </c>
      <c r="AA472">
        <v>0.43900000000000006</v>
      </c>
      <c r="AB472">
        <v>0.40599999999999969</v>
      </c>
      <c r="AC472">
        <v>0.18700000000000028</v>
      </c>
      <c r="AD472">
        <v>9.6999999999999975E-2</v>
      </c>
      <c r="AE472">
        <v>5.1000000000000156E-2</v>
      </c>
      <c r="AF472">
        <v>9.6000000000000002E-2</v>
      </c>
      <c r="AG472">
        <v>0.107</v>
      </c>
      <c r="AH472">
        <v>0.23799999999999999</v>
      </c>
      <c r="AI472">
        <v>0.44</v>
      </c>
      <c r="AJ472">
        <v>0.46899999999999997</v>
      </c>
      <c r="AK472">
        <v>0.46899999999999997</v>
      </c>
      <c r="AL472">
        <v>0.436</v>
      </c>
      <c r="AM472">
        <v>0.48499999999999999</v>
      </c>
      <c r="AN472">
        <v>0.311</v>
      </c>
      <c r="AO472">
        <v>0.32100000000000001</v>
      </c>
      <c r="AP472">
        <v>0.11700000000000001</v>
      </c>
      <c r="AQ472">
        <v>3.6999999999999998E-2</v>
      </c>
      <c r="AR472">
        <v>5.5E-2</v>
      </c>
      <c r="AS472">
        <v>0.13900000000000001</v>
      </c>
      <c r="AT472">
        <v>0.29299999999999998</v>
      </c>
      <c r="AU472">
        <v>0.42299999999999999</v>
      </c>
      <c r="AV472">
        <v>0.41899999999999998</v>
      </c>
      <c r="AW472">
        <v>0.45900000000000002</v>
      </c>
      <c r="AX472">
        <v>0.48899999999999999</v>
      </c>
      <c r="AY472">
        <v>0.434</v>
      </c>
      <c r="BD4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95.153585537807871</v>
      </c>
      <c r="BE4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164.07715042882998</v>
      </c>
      <c r="BF4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276.810430655441</v>
      </c>
      <c r="BG4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393.45030970178618</v>
      </c>
      <c r="BH4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484.41825364702186</v>
      </c>
      <c r="BI4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502.2769911086632</v>
      </c>
      <c r="BJ4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510.36923152096938</v>
      </c>
      <c r="BK4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441.16662385710913</v>
      </c>
      <c r="BL4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309.73747785034232</v>
      </c>
      <c r="BM4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198.9574970335982</v>
      </c>
      <c r="BN4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92.084115036588258</v>
      </c>
      <c r="BO4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77.852933621842794</v>
      </c>
      <c r="BP472">
        <f>SUM(Таб[[#This Row],[1]:[12]])</f>
        <v>3546.3546000000006</v>
      </c>
    </row>
    <row r="473" spans="2:68" ht="38.25">
      <c r="B473" t="s">
        <v>384</v>
      </c>
      <c r="C473" t="str">
        <f>IFERROR(VLOOKUP(Таб[[#This Row],[Зелений Тариф ЕЦ]],Sheet6!$H$9:$I$29,2,FALSE),"")</f>
        <v>Земля</v>
      </c>
      <c r="G473" s="1" t="s">
        <v>1226</v>
      </c>
      <c r="H473" t="s">
        <v>82</v>
      </c>
      <c r="J473" s="7">
        <v>8.0559999999999992</v>
      </c>
      <c r="K473" s="8"/>
      <c r="L473" s="8">
        <v>43567</v>
      </c>
      <c r="M473">
        <v>4</v>
      </c>
      <c r="N473" s="49" t="s">
        <v>57</v>
      </c>
      <c r="O473">
        <v>2019</v>
      </c>
      <c r="P473">
        <v>0.15029999999999999</v>
      </c>
      <c r="Q473" s="10"/>
      <c r="R473" s="11">
        <f>ROUND(Таб[[#This Row],[Зелений Тариф ЕЦ]]+Таб[[#This Row],[Зелений Тариф ЕЦ]]*Таб[[#This Row],[% надбавки]],4)</f>
        <v>0.15029999999999999</v>
      </c>
      <c r="S473" s="12"/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0.44500000000000001</v>
      </c>
      <c r="AW473">
        <v>1.2490000000000001</v>
      </c>
      <c r="AX473">
        <v>1.089</v>
      </c>
      <c r="AY473">
        <v>1.2470000000000001</v>
      </c>
      <c r="BD4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259.41024876229443</v>
      </c>
      <c r="BE4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447.31151399480683</v>
      </c>
      <c r="BF4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754.64799639940202</v>
      </c>
      <c r="BG4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1072.6347529467307</v>
      </c>
      <c r="BH4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1320.6339936989534</v>
      </c>
      <c r="BI4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1369.3209612085923</v>
      </c>
      <c r="BJ4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1391.3822433613973</v>
      </c>
      <c r="BK4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1202.7202442615469</v>
      </c>
      <c r="BL4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844.41459274529871</v>
      </c>
      <c r="BM4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542.40324741207007</v>
      </c>
      <c r="BN4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251.04217622157529</v>
      </c>
      <c r="BO4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212.24474898733177</v>
      </c>
      <c r="BP473">
        <f>SUM(Таб[[#This Row],[1]:[12]])</f>
        <v>9668.1667200000011</v>
      </c>
    </row>
    <row r="474" spans="2:68" ht="51">
      <c r="B474" t="s">
        <v>384</v>
      </c>
      <c r="C474" t="str">
        <f>IFERROR(VLOOKUP(Таб[[#This Row],[Зелений Тариф ЕЦ]],Sheet6!$H$9:$I$29,2,FALSE),"")</f>
        <v>Земля</v>
      </c>
      <c r="G474" s="1" t="s">
        <v>1232</v>
      </c>
      <c r="H474" t="s">
        <v>122</v>
      </c>
      <c r="J474" s="7">
        <v>9.9600000000000009</v>
      </c>
      <c r="K474" s="8"/>
      <c r="L474" s="8">
        <v>43564</v>
      </c>
      <c r="M474">
        <v>4</v>
      </c>
      <c r="N474" s="49" t="s">
        <v>57</v>
      </c>
      <c r="O474">
        <v>2019</v>
      </c>
      <c r="P474">
        <v>0.15029999999999999</v>
      </c>
      <c r="Q474" s="10"/>
      <c r="R474" s="11">
        <f>ROUND(Таб[[#This Row],[Зелений Тариф ЕЦ]]+Таб[[#This Row],[Зелений Тариф ЕЦ]]*Таб[[#This Row],[% надбавки]],4)</f>
        <v>0.15029999999999999</v>
      </c>
      <c r="S474" s="12"/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1.052</v>
      </c>
      <c r="AY474">
        <v>1.52</v>
      </c>
      <c r="BD4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320.72071470611388</v>
      </c>
      <c r="BE4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553.03161362813762</v>
      </c>
      <c r="BF4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933.00571550869472</v>
      </c>
      <c r="BG4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1326.1472367613505</v>
      </c>
      <c r="BH4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1632.7600021402154</v>
      </c>
      <c r="BI4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1692.9539192698089</v>
      </c>
      <c r="BJ4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1720.2292879691558</v>
      </c>
      <c r="BK4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1486.9778590919823</v>
      </c>
      <c r="BL4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1043.9882502163823</v>
      </c>
      <c r="BM4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670.59785802187423</v>
      </c>
      <c r="BN4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310.37488519946498</v>
      </c>
      <c r="BO4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262.40785748682038</v>
      </c>
      <c r="BP474">
        <f>SUM(Таб[[#This Row],[1]:[12]])</f>
        <v>11953.195199999998</v>
      </c>
    </row>
    <row r="475" spans="2:68" ht="63.75">
      <c r="B475" t="s">
        <v>384</v>
      </c>
      <c r="C475" t="str">
        <f>IFERROR(VLOOKUP(Таб[[#This Row],[Зелений Тариф ЕЦ]],Sheet6!$H$9:$I$29,2,FALSE),"")</f>
        <v>Земля</v>
      </c>
      <c r="G475" s="1" t="s">
        <v>1234</v>
      </c>
      <c r="H475" t="s">
        <v>122</v>
      </c>
      <c r="J475" s="7">
        <v>0.32900000000000001</v>
      </c>
      <c r="K475" s="8"/>
      <c r="L475" s="8">
        <v>41557</v>
      </c>
      <c r="M475">
        <v>10</v>
      </c>
      <c r="N475" s="49" t="s">
        <v>71</v>
      </c>
      <c r="O475">
        <v>2013</v>
      </c>
      <c r="P475">
        <v>0.33929999999999999</v>
      </c>
      <c r="Q475" s="10"/>
      <c r="R475" s="11">
        <f>ROUND(Таб[[#This Row],[Зелений Тариф ЕЦ]]+Таб[[#This Row],[Зелений Тариф ЕЦ]]*Таб[[#This Row],[% надбавки]],4)</f>
        <v>0.33929999999999999</v>
      </c>
      <c r="S475" s="12"/>
      <c r="T475">
        <v>7.8E-2</v>
      </c>
      <c r="U475">
        <v>9.5999999999999988E-2</v>
      </c>
      <c r="V475">
        <v>0.2</v>
      </c>
      <c r="W475">
        <v>0.23099999999999998</v>
      </c>
      <c r="X475">
        <v>0.32800000000000007</v>
      </c>
      <c r="Y475">
        <v>0.34299999999999997</v>
      </c>
      <c r="Z475">
        <v>0.32200000000000006</v>
      </c>
      <c r="AA475">
        <v>0.30099999999999993</v>
      </c>
      <c r="AB475">
        <v>0.23499999999999988</v>
      </c>
      <c r="AC475">
        <v>9.1000000000000192E-2</v>
      </c>
      <c r="AD475">
        <v>4.4000000000000039E-2</v>
      </c>
      <c r="AE475">
        <v>2.4000000000000021E-2</v>
      </c>
      <c r="AF475">
        <v>4.7E-2</v>
      </c>
      <c r="AG475">
        <v>6.4000000000000001E-2</v>
      </c>
      <c r="AH475">
        <v>0.14199999999999999</v>
      </c>
      <c r="AI475">
        <v>0.28100000000000003</v>
      </c>
      <c r="AJ475">
        <v>0.28499999999999998</v>
      </c>
      <c r="AK475">
        <v>0.34699999999999998</v>
      </c>
      <c r="AL475">
        <v>0.30499999999999999</v>
      </c>
      <c r="AM475">
        <v>0.32</v>
      </c>
      <c r="AN475">
        <v>0.19800000000000001</v>
      </c>
      <c r="AO475">
        <v>0.19600000000000001</v>
      </c>
      <c r="AP475">
        <v>8.5999999999999993E-2</v>
      </c>
      <c r="AQ475">
        <v>1.2E-2</v>
      </c>
      <c r="AR475">
        <v>4.3999999999999997E-2</v>
      </c>
      <c r="AS475">
        <v>7.0999999999999994E-2</v>
      </c>
      <c r="AT475">
        <v>0.17</v>
      </c>
      <c r="AU475">
        <v>0.25800000000000001</v>
      </c>
      <c r="AV475">
        <v>0.28199999999999997</v>
      </c>
      <c r="AW475">
        <v>0.30299999999999999</v>
      </c>
      <c r="AX475">
        <v>0.30099999999999999</v>
      </c>
      <c r="AY475">
        <v>0.249</v>
      </c>
      <c r="BD4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10.594087865292314</v>
      </c>
      <c r="BE4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18.267811333700529</v>
      </c>
      <c r="BF4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30.819164699032182</v>
      </c>
      <c r="BG4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43.805465953261468</v>
      </c>
      <c r="BH4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53.933538223306321</v>
      </c>
      <c r="BI4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55.9218714296955</v>
      </c>
      <c r="BJ4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56.822834913840587</v>
      </c>
      <c r="BK4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49.118043739082545</v>
      </c>
      <c r="BL4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34.485154048312225</v>
      </c>
      <c r="BM4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22.15127462742938</v>
      </c>
      <c r="BN4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10.252343095444175</v>
      </c>
      <c r="BO4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8.6678900716028018</v>
      </c>
      <c r="BP475">
        <f>SUM(Таб[[#This Row],[1]:[12]])</f>
        <v>394.83948000000004</v>
      </c>
    </row>
    <row r="476" spans="2:68" ht="63.75">
      <c r="B476" t="s">
        <v>384</v>
      </c>
      <c r="C476" t="str">
        <f>IFERROR(VLOOKUP(Таб[[#This Row],[Зелений Тариф ЕЦ]],Sheet6!$H$9:$I$29,2,FALSE),"")</f>
        <v>Земля</v>
      </c>
      <c r="G476" s="1" t="s">
        <v>1234</v>
      </c>
      <c r="H476" t="s">
        <v>122</v>
      </c>
      <c r="J476" s="7">
        <v>1.319</v>
      </c>
      <c r="K476" s="8"/>
      <c r="L476" s="8">
        <v>41557</v>
      </c>
      <c r="M476">
        <v>10</v>
      </c>
      <c r="N476" s="49" t="s">
        <v>71</v>
      </c>
      <c r="O476">
        <v>2013</v>
      </c>
      <c r="P476">
        <v>0.33929999999999999</v>
      </c>
      <c r="Q476" s="10"/>
      <c r="R476" s="11">
        <f>ROUND(Таб[[#This Row],[Зелений Тариф ЕЦ]]+Таб[[#This Row],[Зелений Тариф ЕЦ]]*Таб[[#This Row],[% надбавки]],4)</f>
        <v>0.33929999999999999</v>
      </c>
      <c r="S476" s="12"/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BD4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42.472954086080733</v>
      </c>
      <c r="BE4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73.237821122039506</v>
      </c>
      <c r="BF4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123.55768461405303</v>
      </c>
      <c r="BG4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175.62130575182942</v>
      </c>
      <c r="BH4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216.22594807459285</v>
      </c>
      <c r="BI4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224.19741159808012</v>
      </c>
      <c r="BJ4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227.80948100716026</v>
      </c>
      <c r="BK4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196.92005985364705</v>
      </c>
      <c r="BL4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138.25507048548275</v>
      </c>
      <c r="BM4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88.807085816350607</v>
      </c>
      <c r="BN4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41.102858792981358</v>
      </c>
      <c r="BO4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34.750598797702416</v>
      </c>
      <c r="BP476">
        <f>SUM(Таб[[#This Row],[1]:[12]])</f>
        <v>1582.9582800000001</v>
      </c>
    </row>
    <row r="477" spans="2:68" ht="63.75">
      <c r="B477" t="s">
        <v>384</v>
      </c>
      <c r="C477" t="str">
        <f>IFERROR(VLOOKUP(Таб[[#This Row],[Зелений Тариф ЕЦ]],Sheet6!$H$9:$I$29,2,FALSE),"")</f>
        <v>Земля</v>
      </c>
      <c r="G477" s="1" t="s">
        <v>1234</v>
      </c>
      <c r="H477" t="s">
        <v>122</v>
      </c>
      <c r="J477" s="7">
        <v>0.92500000000000004</v>
      </c>
      <c r="K477" s="8"/>
      <c r="L477" s="8">
        <v>42698</v>
      </c>
      <c r="M477">
        <v>11</v>
      </c>
      <c r="N477" s="49" t="s">
        <v>71</v>
      </c>
      <c r="O477">
        <v>2016</v>
      </c>
      <c r="P477">
        <v>0.15989999999999999</v>
      </c>
      <c r="Q477" s="10">
        <v>0.05</v>
      </c>
      <c r="R477" s="11">
        <f>ROUND(Таб[[#This Row],[Зелений Тариф ЕЦ]]+Таб[[#This Row],[Зелений Тариф ЕЦ]]*Таб[[#This Row],[% надбавки]],4)</f>
        <v>0.16789999999999999</v>
      </c>
      <c r="S477" s="12">
        <v>42917</v>
      </c>
      <c r="T477">
        <v>3.7999999999999999E-2</v>
      </c>
      <c r="U477">
        <v>6.2000000000000006E-2</v>
      </c>
      <c r="V477">
        <v>0.122</v>
      </c>
      <c r="W477">
        <v>0.14099999999999999</v>
      </c>
      <c r="X477">
        <v>0.20499999999999996</v>
      </c>
      <c r="Y477">
        <v>0.20100000000000007</v>
      </c>
      <c r="Z477">
        <v>0.19299999999999995</v>
      </c>
      <c r="AA477">
        <v>0.18199999999999994</v>
      </c>
      <c r="AB477">
        <v>0.14700000000000002</v>
      </c>
      <c r="AC477">
        <v>5.8000000000000052E-2</v>
      </c>
      <c r="AD477">
        <v>3.0999999999999917E-2</v>
      </c>
      <c r="AE477">
        <v>1.8000000000000016E-2</v>
      </c>
      <c r="AF477">
        <v>4.3999999999999997E-2</v>
      </c>
      <c r="AG477">
        <v>4.9000000000000002E-2</v>
      </c>
      <c r="AH477">
        <v>0.1</v>
      </c>
      <c r="AI477">
        <v>0.17599999999999999</v>
      </c>
      <c r="AJ477">
        <v>0.19900000000000001</v>
      </c>
      <c r="AK477">
        <v>0.215</v>
      </c>
      <c r="AL477">
        <v>0.19</v>
      </c>
      <c r="AM477">
        <v>0.20399999999999999</v>
      </c>
      <c r="AN477">
        <v>0.124</v>
      </c>
      <c r="AO477">
        <v>0.11799999999999999</v>
      </c>
      <c r="AP477">
        <v>5.0999999999999997E-2</v>
      </c>
      <c r="AQ477">
        <v>5.0000000000000001E-3</v>
      </c>
      <c r="AR477">
        <v>0.02</v>
      </c>
      <c r="AS477">
        <v>4.3999999999999997E-2</v>
      </c>
      <c r="AT477">
        <v>0.11</v>
      </c>
      <c r="AU477">
        <v>0.16300000000000001</v>
      </c>
      <c r="AV477">
        <v>0.182</v>
      </c>
      <c r="AW477">
        <v>0.20499999999999999</v>
      </c>
      <c r="AX477">
        <v>0.20100000000000001</v>
      </c>
      <c r="AY477">
        <v>0.18099999999999999</v>
      </c>
      <c r="BD4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29.785809347706355</v>
      </c>
      <c r="BE4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51.360867731528842</v>
      </c>
      <c r="BF4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86.649627193327561</v>
      </c>
      <c r="BG4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123.16126445825793</v>
      </c>
      <c r="BH4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151.63684758832323</v>
      </c>
      <c r="BI4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157.22714611692501</v>
      </c>
      <c r="BJ4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159.76025013769771</v>
      </c>
      <c r="BK4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138.09784333936582</v>
      </c>
      <c r="BL4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96.956740105437092</v>
      </c>
      <c r="BM4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62.279419545204178</v>
      </c>
      <c r="BN4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28.824976788102926</v>
      </c>
      <c r="BO4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24.370207648123383</v>
      </c>
      <c r="BP477">
        <f>SUM(Таб[[#This Row],[1]:[12]])</f>
        <v>1110.1110000000001</v>
      </c>
    </row>
    <row r="478" spans="2:68" ht="63.75">
      <c r="B478" t="s">
        <v>384</v>
      </c>
      <c r="C478" t="str">
        <f>IFERROR(VLOOKUP(Таб[[#This Row],[Зелений Тариф ЕЦ]],Sheet6!$H$9:$I$29,2,FALSE),"")</f>
        <v>Земля</v>
      </c>
      <c r="D478" t="s">
        <v>3408</v>
      </c>
      <c r="E478" t="s">
        <v>3407</v>
      </c>
      <c r="F478" t="s">
        <v>3287</v>
      </c>
      <c r="G478" s="1" t="s">
        <v>1234</v>
      </c>
      <c r="H478" t="s">
        <v>69</v>
      </c>
      <c r="J478" s="7">
        <v>18.609000000000002</v>
      </c>
      <c r="K478" s="8"/>
      <c r="L478" s="8">
        <v>43158</v>
      </c>
      <c r="M478">
        <v>2</v>
      </c>
      <c r="N478" s="49" t="s">
        <v>67</v>
      </c>
      <c r="O478">
        <v>2018</v>
      </c>
      <c r="P478">
        <v>0.15029999999999999</v>
      </c>
      <c r="Q478" s="10"/>
      <c r="R478" s="11">
        <f>ROUND(Таб[[#This Row],[Зелений Тариф ЕЦ]]+Таб[[#This Row],[Зелений Тариф ЕЦ]]*Таб[[#This Row],[% надбавки]],4)</f>
        <v>0.15029999999999999</v>
      </c>
      <c r="S478" s="12"/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0.92400000000000004</v>
      </c>
      <c r="AI478">
        <v>1.625</v>
      </c>
      <c r="AJ478">
        <v>1.915</v>
      </c>
      <c r="AK478">
        <v>1.9359999999999999</v>
      </c>
      <c r="AL478">
        <v>1.728</v>
      </c>
      <c r="AM478">
        <v>2.6360000000000001</v>
      </c>
      <c r="AN478">
        <v>2.09</v>
      </c>
      <c r="AO478">
        <v>2.1850000000000001</v>
      </c>
      <c r="AP478">
        <v>0.85399999999999998</v>
      </c>
      <c r="AQ478">
        <v>0.26100000000000001</v>
      </c>
      <c r="AR478">
        <v>0.49099999999999999</v>
      </c>
      <c r="AS478">
        <v>1.05</v>
      </c>
      <c r="AT478">
        <v>2.11</v>
      </c>
      <c r="AU478">
        <v>2.8410000000000002</v>
      </c>
      <c r="AV478">
        <v>2.8420000000000001</v>
      </c>
      <c r="AW478">
        <v>3.1389999999999998</v>
      </c>
      <c r="AX478">
        <v>3</v>
      </c>
      <c r="AY478">
        <v>2.972</v>
      </c>
      <c r="BD4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599.22608232591097</v>
      </c>
      <c r="BE4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1033.2696082335356</v>
      </c>
      <c r="BF4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1743.2031485844677</v>
      </c>
      <c r="BG4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2477.7383462742937</v>
      </c>
      <c r="BH4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3050.6055100228186</v>
      </c>
      <c r="BI4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3163.0702292863325</v>
      </c>
      <c r="BJ4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3214.0308052026126</v>
      </c>
      <c r="BK4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2778.2300180564957</v>
      </c>
      <c r="BL4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1950.5599747265719</v>
      </c>
      <c r="BM4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1252.9272630450862</v>
      </c>
      <c r="BN4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579.8962087024945</v>
      </c>
      <c r="BO4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490.27588553938159</v>
      </c>
      <c r="BP478">
        <f>SUM(Таб[[#This Row],[1]:[12]])</f>
        <v>22333.033080000005</v>
      </c>
    </row>
    <row r="479" spans="2:68" ht="38.25">
      <c r="B479" t="s">
        <v>384</v>
      </c>
      <c r="C479" t="str">
        <f>IFERROR(VLOOKUP(Таб[[#This Row],[Зелений Тариф ЕЦ]],Sheet6!$H$9:$I$29,2,FALSE),"")</f>
        <v>Земля</v>
      </c>
      <c r="G479" s="1" t="s">
        <v>1241</v>
      </c>
      <c r="H479" t="s">
        <v>73</v>
      </c>
      <c r="J479" s="7">
        <v>9.8059999999999992</v>
      </c>
      <c r="K479" s="8"/>
      <c r="L479" s="8">
        <v>41340</v>
      </c>
      <c r="M479">
        <v>3</v>
      </c>
      <c r="N479" s="49" t="s">
        <v>67</v>
      </c>
      <c r="O479">
        <v>2013</v>
      </c>
      <c r="P479">
        <v>0.46529999999999999</v>
      </c>
      <c r="Q479" s="10"/>
      <c r="R479" s="11">
        <f>ROUND(Таб[[#This Row],[Зелений Тариф ЕЦ]]+Таб[[#This Row],[Зелений Тариф ЕЦ]]*Таб[[#This Row],[% надбавки]],4)</f>
        <v>0.46529999999999999</v>
      </c>
      <c r="S479" s="12"/>
      <c r="T479">
        <v>0.40500000000000003</v>
      </c>
      <c r="U479">
        <v>0.71100000000000008</v>
      </c>
      <c r="V479">
        <v>1.3169999999999997</v>
      </c>
      <c r="W479">
        <v>1.4470000000000001</v>
      </c>
      <c r="X479">
        <v>2.0419999999999998</v>
      </c>
      <c r="Y479">
        <v>2.2860000000000005</v>
      </c>
      <c r="Z479">
        <v>2.298</v>
      </c>
      <c r="AA479">
        <v>2.109</v>
      </c>
      <c r="AB479">
        <v>1.843</v>
      </c>
      <c r="AC479">
        <v>1.0150000000000006</v>
      </c>
      <c r="AD479">
        <v>0.62100000000000044</v>
      </c>
      <c r="AE479">
        <v>0.36199999999999832</v>
      </c>
      <c r="AF479">
        <v>0.47399999999999998</v>
      </c>
      <c r="AG479">
        <v>0.61</v>
      </c>
      <c r="AH479">
        <v>1.0549999999999999</v>
      </c>
      <c r="AI479">
        <v>2.1019999999999999</v>
      </c>
      <c r="AJ479">
        <v>2.1840000000000002</v>
      </c>
      <c r="AK479">
        <v>2.1520000000000001</v>
      </c>
      <c r="AL479">
        <v>2.238</v>
      </c>
      <c r="AM479">
        <v>2.282</v>
      </c>
      <c r="AN479">
        <v>1.552</v>
      </c>
      <c r="AO479">
        <v>1.583</v>
      </c>
      <c r="AP479">
        <v>0.58899999999999997</v>
      </c>
      <c r="AQ479">
        <v>0.23400000000000001</v>
      </c>
      <c r="AR479">
        <v>0.34499999999999997</v>
      </c>
      <c r="AS479">
        <v>0.83199999999999996</v>
      </c>
      <c r="AT479">
        <v>1.8280000000000001</v>
      </c>
      <c r="AU479">
        <v>1.845</v>
      </c>
      <c r="AV479">
        <v>2.169</v>
      </c>
      <c r="AW479">
        <v>2.028</v>
      </c>
      <c r="AX479">
        <v>2.323</v>
      </c>
      <c r="AY479">
        <v>2.145</v>
      </c>
      <c r="BD4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315.7617799606578</v>
      </c>
      <c r="BE4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544.48072321661812</v>
      </c>
      <c r="BF4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918.57972352191348</v>
      </c>
      <c r="BG4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1305.6425505704617</v>
      </c>
      <c r="BH4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1607.5145161633486</v>
      </c>
      <c r="BI4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1666.7777241325043</v>
      </c>
      <c r="BJ4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1693.6313652435279</v>
      </c>
      <c r="BK4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1463.9864343630497</v>
      </c>
      <c r="BL4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1027.8462632150445</v>
      </c>
      <c r="BM4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660.2291762813752</v>
      </c>
      <c r="BN4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305.57591609095914</v>
      </c>
      <c r="BO4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258.35054724053816</v>
      </c>
      <c r="BP479">
        <f>SUM(Таб[[#This Row],[1]:[12]])</f>
        <v>11768.376719999995</v>
      </c>
    </row>
    <row r="480" spans="2:68" ht="38.25">
      <c r="B480" t="s">
        <v>384</v>
      </c>
      <c r="C480" t="str">
        <f>IFERROR(VLOOKUP(Таб[[#This Row],[Зелений Тариф ЕЦ]],Sheet6!$H$9:$I$29,2,FALSE),"")</f>
        <v>Земля</v>
      </c>
      <c r="G480" s="1" t="s">
        <v>1243</v>
      </c>
      <c r="H480" t="s">
        <v>172</v>
      </c>
      <c r="J480" s="7">
        <v>5.0970000000000004</v>
      </c>
      <c r="K480" s="8"/>
      <c r="L480" s="8">
        <v>43312</v>
      </c>
      <c r="M480">
        <v>7</v>
      </c>
      <c r="N480" s="49" t="s">
        <v>60</v>
      </c>
      <c r="O480">
        <v>2018</v>
      </c>
      <c r="P480">
        <v>0.15029999999999999</v>
      </c>
      <c r="Q480" s="10">
        <v>0.05</v>
      </c>
      <c r="R480" s="11">
        <f>ROUND(Таб[[#This Row],[Зелений Тариф ЕЦ]]+Таб[[#This Row],[Зелений Тариф ЕЦ]]*Таб[[#This Row],[% надбавки]],4)</f>
        <v>0.1578</v>
      </c>
      <c r="S480" s="12">
        <v>43448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0.58899999999999997</v>
      </c>
      <c r="AO480">
        <v>0.50600000000000001</v>
      </c>
      <c r="AP480">
        <v>0.13600000000000001</v>
      </c>
      <c r="AQ480">
        <v>5.8999999999999997E-2</v>
      </c>
      <c r="AR480">
        <v>7.0999999999999994E-2</v>
      </c>
      <c r="AS480">
        <v>0.28799999999999998</v>
      </c>
      <c r="AT480">
        <v>0.48199999999999998</v>
      </c>
      <c r="AU480">
        <v>0.66600000000000004</v>
      </c>
      <c r="AV480">
        <v>0.66600000000000004</v>
      </c>
      <c r="AW480">
        <v>0.85499999999999998</v>
      </c>
      <c r="AX480">
        <v>0.80500000000000005</v>
      </c>
      <c r="AY480">
        <v>0.77200000000000002</v>
      </c>
      <c r="BD4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164.12785972460466</v>
      </c>
      <c r="BE4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283.01226251632704</v>
      </c>
      <c r="BF4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477.46286465339523</v>
      </c>
      <c r="BG4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678.6518539932332</v>
      </c>
      <c r="BH4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835.56001314344178</v>
      </c>
      <c r="BI4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866.36406892753189</v>
      </c>
      <c r="BJ4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880.32215670469759</v>
      </c>
      <c r="BK4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760.95644054134868</v>
      </c>
      <c r="BL4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534.25784250531126</v>
      </c>
      <c r="BM4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343.17643396962785</v>
      </c>
      <c r="BN4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158.83341263671417</v>
      </c>
      <c r="BO4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134.28643068376743</v>
      </c>
      <c r="BP480">
        <f>SUM(Таб[[#This Row],[1]:[12]])</f>
        <v>6117.0116400000015</v>
      </c>
    </row>
    <row r="481" spans="2:68" ht="38.25">
      <c r="B481" t="s">
        <v>384</v>
      </c>
      <c r="C481" t="str">
        <f>IFERROR(VLOOKUP(Таб[[#This Row],[Зелений Тариф ЕЦ]],Sheet6!$H$9:$I$29,2,FALSE),"")</f>
        <v>Земля</v>
      </c>
      <c r="G481" s="1" t="s">
        <v>1245</v>
      </c>
      <c r="H481" t="s">
        <v>198</v>
      </c>
      <c r="J481" s="7">
        <v>1.2</v>
      </c>
      <c r="K481" s="8"/>
      <c r="L481" s="8">
        <v>43627</v>
      </c>
      <c r="M481">
        <v>6</v>
      </c>
      <c r="N481" s="49" t="s">
        <v>57</v>
      </c>
      <c r="O481">
        <v>2019</v>
      </c>
      <c r="P481">
        <v>0.15029999999999999</v>
      </c>
      <c r="Q481" s="10"/>
      <c r="R481" s="11">
        <f>ROUND(Таб[[#This Row],[Зелений Тариф ЕЦ]]+Таб[[#This Row],[Зелений Тариф ЕЦ]]*Таб[[#This Row],[% надбавки]],4)</f>
        <v>0.15029999999999999</v>
      </c>
      <c r="S481" s="12"/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0.193</v>
      </c>
      <c r="BD4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38.641049964592028</v>
      </c>
      <c r="BE4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66.630314894956328</v>
      </c>
      <c r="BF4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112.41032716972225</v>
      </c>
      <c r="BG4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159.77677551341569</v>
      </c>
      <c r="BH4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196.71807254701389</v>
      </c>
      <c r="BI4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203.97035171925407</v>
      </c>
      <c r="BJ4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207.2565407191754</v>
      </c>
      <c r="BK4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179.15395892674485</v>
      </c>
      <c r="BL4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125.78171689354002</v>
      </c>
      <c r="BM4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80.794922653237862</v>
      </c>
      <c r="BN4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37.394564481863249</v>
      </c>
      <c r="BO4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31.615404516484382</v>
      </c>
      <c r="BP481">
        <f>SUM(Таб[[#This Row],[1]:[12]])</f>
        <v>1440.144</v>
      </c>
    </row>
    <row r="482" spans="2:68" ht="38.25">
      <c r="B482" t="s">
        <v>384</v>
      </c>
      <c r="C482" t="str">
        <f>IFERROR(VLOOKUP(Таб[[#This Row],[Зелений Тариф ЕЦ]],Sheet6!$H$9:$I$29,2,FALSE),"")</f>
        <v>Земля</v>
      </c>
      <c r="G482" s="1" t="s">
        <v>1247</v>
      </c>
      <c r="H482" t="s">
        <v>107</v>
      </c>
      <c r="J482" s="7">
        <v>0.997</v>
      </c>
      <c r="K482" s="8"/>
      <c r="L482" s="8">
        <v>43277</v>
      </c>
      <c r="M482">
        <v>6</v>
      </c>
      <c r="N482" s="49" t="s">
        <v>57</v>
      </c>
      <c r="O482">
        <v>2018</v>
      </c>
      <c r="P482">
        <v>0.15029999999999999</v>
      </c>
      <c r="Q482" s="10"/>
      <c r="R482" s="11">
        <f>ROUND(Таб[[#This Row],[Зелений Тариф ЕЦ]]+Таб[[#This Row],[Зелений Тариф ЕЦ]]*Таб[[#This Row],[% надбавки]],4)</f>
        <v>0.15029999999999999</v>
      </c>
      <c r="S482" s="12"/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0.13500000000000001</v>
      </c>
      <c r="AM482">
        <v>0.159</v>
      </c>
      <c r="AN482">
        <v>0.107</v>
      </c>
      <c r="AO482">
        <v>7.8E-2</v>
      </c>
      <c r="AP482">
        <v>2.1000000000000001E-2</v>
      </c>
      <c r="AQ482">
        <v>1E-3</v>
      </c>
      <c r="AR482">
        <v>8.0000000000000002E-3</v>
      </c>
      <c r="AS482">
        <v>4.1000000000000002E-2</v>
      </c>
      <c r="AT482">
        <v>9.0999999999999998E-2</v>
      </c>
      <c r="AU482">
        <v>0.13500000000000001</v>
      </c>
      <c r="AV482">
        <v>0.13300000000000001</v>
      </c>
      <c r="AW482">
        <v>0.16800000000000001</v>
      </c>
      <c r="AX482">
        <v>0.154</v>
      </c>
      <c r="AY482">
        <v>0.14099999999999999</v>
      </c>
      <c r="BD4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32.104272345581876</v>
      </c>
      <c r="BE4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55.35868662522622</v>
      </c>
      <c r="BF4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93.394246823510898</v>
      </c>
      <c r="BG4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132.74787098906285</v>
      </c>
      <c r="BH4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163.43993194114404</v>
      </c>
      <c r="BI4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169.46536722008028</v>
      </c>
      <c r="BJ4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172.19564258084822</v>
      </c>
      <c r="BK4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148.84708087497049</v>
      </c>
      <c r="BL4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104.50364311904951</v>
      </c>
      <c r="BM4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67.127114904398439</v>
      </c>
      <c r="BN4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31.068650657014722</v>
      </c>
      <c r="BO4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26.267131919112437</v>
      </c>
      <c r="BP482">
        <f>SUM(Таб[[#This Row],[1]:[12]])</f>
        <v>1196.5196400000002</v>
      </c>
    </row>
    <row r="483" spans="2:68" ht="38.25">
      <c r="B483" t="s">
        <v>384</v>
      </c>
      <c r="C483" t="str">
        <f>IFERROR(VLOOKUP(Таб[[#This Row],[Зелений Тариф ЕЦ]],Sheet6!$H$9:$I$29,2,FALSE),"")</f>
        <v>Земля</v>
      </c>
      <c r="D483" t="s">
        <v>3356</v>
      </c>
      <c r="E483" t="s">
        <v>3288</v>
      </c>
      <c r="F483" t="s">
        <v>3287</v>
      </c>
      <c r="G483" s="1" t="s">
        <v>1250</v>
      </c>
      <c r="H483" t="s">
        <v>122</v>
      </c>
      <c r="J483" s="7">
        <v>246.154</v>
      </c>
      <c r="K483" s="8"/>
      <c r="L483" s="8">
        <v>43524</v>
      </c>
      <c r="M483">
        <v>2</v>
      </c>
      <c r="N483" s="49" t="s">
        <v>67</v>
      </c>
      <c r="O483">
        <v>2019</v>
      </c>
      <c r="P483">
        <v>0.15029999999999999</v>
      </c>
      <c r="Q483" s="10"/>
      <c r="R483" s="11">
        <f>ROUND(Таб[[#This Row],[Зелений Тариф ЕЦ]]+Таб[[#This Row],[Зелений Тариф ЕЦ]]*Таб[[#This Row],[% надбавки]],4)</f>
        <v>0.15029999999999999</v>
      </c>
      <c r="S483" s="12"/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23.792000000000002</v>
      </c>
      <c r="AU483">
        <v>36.898000000000003</v>
      </c>
      <c r="AV483">
        <v>35.927999999999997</v>
      </c>
      <c r="AW483">
        <v>39.795000000000002</v>
      </c>
      <c r="AX483">
        <v>40.5</v>
      </c>
      <c r="AY483">
        <v>37.128999999999998</v>
      </c>
      <c r="BD4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7926.3741774868213</v>
      </c>
      <c r="BE4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13667.765443877566</v>
      </c>
      <c r="BF4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23058.543061779841</v>
      </c>
      <c r="BG4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32774.743666441107</v>
      </c>
      <c r="BH4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40352.450358114722</v>
      </c>
      <c r="BI4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41840.098297584387</v>
      </c>
      <c r="BJ4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42514.188770156587</v>
      </c>
      <c r="BK4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36749.553004711626</v>
      </c>
      <c r="BL4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25801.393950177044</v>
      </c>
      <c r="BM4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16573.327825654258</v>
      </c>
      <c r="BN4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7670.6846878904726</v>
      </c>
      <c r="BO4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6485.2152361255803</v>
      </c>
      <c r="BP483">
        <f>SUM(Таб[[#This Row],[1]:[12]])</f>
        <v>295414.33847999998</v>
      </c>
    </row>
    <row r="484" spans="2:68" ht="38.25">
      <c r="B484" t="s">
        <v>384</v>
      </c>
      <c r="C484" t="str">
        <f>IFERROR(VLOOKUP(Таб[[#This Row],[Зелений Тариф ЕЦ]],Sheet6!$H$9:$I$29,2,FALSE),"")</f>
        <v>Земля</v>
      </c>
      <c r="G484" s="1" t="s">
        <v>1252</v>
      </c>
      <c r="H484" t="s">
        <v>198</v>
      </c>
      <c r="J484" s="7">
        <v>2.0270000000000001</v>
      </c>
      <c r="K484" s="8"/>
      <c r="L484" s="8">
        <v>42929</v>
      </c>
      <c r="M484">
        <v>7</v>
      </c>
      <c r="N484" s="49" t="s">
        <v>60</v>
      </c>
      <c r="O484">
        <v>2017</v>
      </c>
      <c r="P484">
        <v>0.15029999999999999</v>
      </c>
      <c r="Q484" s="10"/>
      <c r="R484" s="11">
        <f>ROUND(Таб[[#This Row],[Зелений Тариф ЕЦ]]+Таб[[#This Row],[Зелений Тариф ЕЦ]]*Таб[[#This Row],[% надбавки]],4)</f>
        <v>0.15029999999999999</v>
      </c>
      <c r="S484" s="12"/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0.27300000000000002</v>
      </c>
      <c r="AB484">
        <v>0.22899999999999998</v>
      </c>
      <c r="AC484">
        <v>0.13600000000000001</v>
      </c>
      <c r="AD484">
        <v>4.9999999999999933E-2</v>
      </c>
      <c r="AE484">
        <v>3.6000000000000032E-2</v>
      </c>
      <c r="AF484">
        <v>7.4999999999999997E-2</v>
      </c>
      <c r="AG484">
        <v>8.1000000000000003E-2</v>
      </c>
      <c r="AH484">
        <v>0.17</v>
      </c>
      <c r="AI484">
        <v>0.33300000000000002</v>
      </c>
      <c r="AJ484">
        <v>0.34200000000000003</v>
      </c>
      <c r="AK484">
        <v>0.28999999999999998</v>
      </c>
      <c r="AL484">
        <v>0.29699999999999999</v>
      </c>
      <c r="AM484">
        <v>0.32500000000000001</v>
      </c>
      <c r="AN484">
        <v>0.219</v>
      </c>
      <c r="AO484">
        <v>0.20899999999999999</v>
      </c>
      <c r="AP484">
        <v>4.9000000000000002E-2</v>
      </c>
      <c r="AQ484">
        <v>2.3E-2</v>
      </c>
      <c r="AR484">
        <v>3.4000000000000002E-2</v>
      </c>
      <c r="AS484">
        <v>9.2999999999999999E-2</v>
      </c>
      <c r="AT484">
        <v>0.20799999999999999</v>
      </c>
      <c r="AU484">
        <v>0.254</v>
      </c>
      <c r="AV484">
        <v>0.26300000000000001</v>
      </c>
      <c r="AW484">
        <v>0.30499999999999999</v>
      </c>
      <c r="AX484">
        <v>0.30599999999999999</v>
      </c>
      <c r="AY484">
        <v>0.31</v>
      </c>
      <c r="BD4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65.271173565190026</v>
      </c>
      <c r="BE4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112.54970691006375</v>
      </c>
      <c r="BF4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189.87977764418915</v>
      </c>
      <c r="BG4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269.8896033047447</v>
      </c>
      <c r="BH4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332.28961087733109</v>
      </c>
      <c r="BI4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344.53991911244003</v>
      </c>
      <c r="BJ4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350.09084003147376</v>
      </c>
      <c r="BK4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302.6208956204265</v>
      </c>
      <c r="BL4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212.46628345267135</v>
      </c>
      <c r="BM4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136.47609018176095</v>
      </c>
      <c r="BN4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63.165651837280684</v>
      </c>
      <c r="BO4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53.403687462428209</v>
      </c>
      <c r="BP484">
        <f>SUM(Таб[[#This Row],[1]:[12]])</f>
        <v>2432.6432399999994</v>
      </c>
    </row>
    <row r="485" spans="2:68" ht="38.25">
      <c r="B485" t="s">
        <v>384</v>
      </c>
      <c r="C485" t="str">
        <f>IFERROR(VLOOKUP(Таб[[#This Row],[Зелений Тариф ЕЦ]],Sheet6!$H$9:$I$29,2,FALSE),"")</f>
        <v>Земля</v>
      </c>
      <c r="G485" s="1" t="s">
        <v>1254</v>
      </c>
      <c r="H485" t="s">
        <v>69</v>
      </c>
      <c r="J485" s="7">
        <v>23.321000000000002</v>
      </c>
      <c r="K485" s="8"/>
      <c r="L485" s="8">
        <v>43581</v>
      </c>
      <c r="M485">
        <v>4</v>
      </c>
      <c r="N485" s="49" t="s">
        <v>57</v>
      </c>
      <c r="O485">
        <v>2019</v>
      </c>
      <c r="P485">
        <v>0.15029999999999999</v>
      </c>
      <c r="Q485" s="10"/>
      <c r="R485" s="11">
        <f>ROUND(Таб[[#This Row],[Зелений Тариф ЕЦ]]+Таб[[#This Row],[Зелений Тариф ЕЦ]]*Таб[[#This Row],[% надбавки]],4)</f>
        <v>0.15029999999999999</v>
      </c>
      <c r="S485" s="12"/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3.9340000000000002</v>
      </c>
      <c r="AX485">
        <v>3.8809999999999998</v>
      </c>
      <c r="AY485">
        <v>3.5409999999999999</v>
      </c>
      <c r="BD4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750.95660518687555</v>
      </c>
      <c r="BE4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1294.904644721064</v>
      </c>
      <c r="BF4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2184.6010332709102</v>
      </c>
      <c r="BG4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3105.1284847903057</v>
      </c>
      <c r="BH4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3823.0518082240937</v>
      </c>
      <c r="BI4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3963.9938103706045</v>
      </c>
      <c r="BJ4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4027.8581550932413</v>
      </c>
      <c r="BK4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3481.7078967755142</v>
      </c>
      <c r="BL4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2444.4628497285394</v>
      </c>
      <c r="BM4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1570.1819926634671</v>
      </c>
      <c r="BN4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726.73219856794412</v>
      </c>
      <c r="BO4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614.41904060744355</v>
      </c>
      <c r="BP485">
        <f>SUM(Таб[[#This Row],[1]:[12]])</f>
        <v>27987.998520000008</v>
      </c>
    </row>
    <row r="486" spans="2:68" ht="38.25">
      <c r="B486" t="s">
        <v>384</v>
      </c>
      <c r="C486" t="str">
        <f>IFERROR(VLOOKUP(Таб[[#This Row],[Зелений Тариф ЕЦ]],Sheet6!$H$9:$I$29,2,FALSE),"")</f>
        <v>Земля</v>
      </c>
      <c r="G486" s="1" t="s">
        <v>1256</v>
      </c>
      <c r="H486" t="s">
        <v>1257</v>
      </c>
      <c r="J486" s="7">
        <v>0.308</v>
      </c>
      <c r="K486" s="8"/>
      <c r="L486" s="8">
        <v>43455</v>
      </c>
      <c r="M486">
        <v>12</v>
      </c>
      <c r="N486" s="49" t="s">
        <v>71</v>
      </c>
      <c r="O486">
        <v>2018</v>
      </c>
      <c r="P486">
        <v>0.15029999999999999</v>
      </c>
      <c r="Q486" s="10"/>
      <c r="R486" s="11">
        <f>ROUND(Таб[[#This Row],[Зелений Тариф ЕЦ]]+Таб[[#This Row],[Зелений Тариф ЕЦ]]*Таб[[#This Row],[% надбавки]],4)</f>
        <v>0.15029999999999999</v>
      </c>
      <c r="S486" s="12"/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0.39800000000000002</v>
      </c>
      <c r="AW486">
        <v>0.22900000000000001</v>
      </c>
      <c r="AX486">
        <v>0.23</v>
      </c>
      <c r="AY486">
        <v>0.221</v>
      </c>
      <c r="BD4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9.9178694909119542</v>
      </c>
      <c r="BE4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17.101780823038791</v>
      </c>
      <c r="BF4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28.851983973562042</v>
      </c>
      <c r="BG4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41.009372381776693</v>
      </c>
      <c r="BH4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50.490971953733577</v>
      </c>
      <c r="BI4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52.352390274608545</v>
      </c>
      <c r="BJ4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53.195845451255018</v>
      </c>
      <c r="BK4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45.982849457864504</v>
      </c>
      <c r="BL4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32.283974002675265</v>
      </c>
      <c r="BM4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20.737363480997715</v>
      </c>
      <c r="BN4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9.5979382170115688</v>
      </c>
      <c r="BO4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8.1146204925643239</v>
      </c>
      <c r="BP486">
        <f>SUM(Таб[[#This Row],[1]:[12]])</f>
        <v>369.63696000000004</v>
      </c>
    </row>
    <row r="487" spans="2:68" ht="38.25">
      <c r="B487" t="s">
        <v>384</v>
      </c>
      <c r="C487" t="str">
        <f>IFERROR(VLOOKUP(Таб[[#This Row],[Зелений Тариф ЕЦ]],Sheet6!$H$9:$I$29,2,FALSE),"")</f>
        <v>Земля</v>
      </c>
      <c r="G487" s="1" t="s">
        <v>1256</v>
      </c>
      <c r="H487" t="s">
        <v>1257</v>
      </c>
      <c r="J487" s="7">
        <v>1.105</v>
      </c>
      <c r="K487" s="8"/>
      <c r="L487" s="8">
        <v>43529</v>
      </c>
      <c r="M487">
        <v>3</v>
      </c>
      <c r="N487" s="49" t="s">
        <v>67</v>
      </c>
      <c r="O487">
        <v>2019</v>
      </c>
      <c r="P487">
        <v>0.15029999999999999</v>
      </c>
      <c r="Q487" s="10"/>
      <c r="R487" s="11">
        <f>ROUND(Таб[[#This Row],[Зелений Тариф ЕЦ]]+Таб[[#This Row],[Зелений Тариф ЕЦ]]*Таб[[#This Row],[% надбавки]],4)</f>
        <v>0.15029999999999999</v>
      </c>
      <c r="S487" s="12"/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BD4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35.581966842395161</v>
      </c>
      <c r="BE4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61.355414965772283</v>
      </c>
      <c r="BF4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103.5111762687859</v>
      </c>
      <c r="BG4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147.12778078527026</v>
      </c>
      <c r="BH4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181.14455847037533</v>
      </c>
      <c r="BI4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187.82269887481317</v>
      </c>
      <c r="BJ4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190.84873124557402</v>
      </c>
      <c r="BK4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164.97093717837754</v>
      </c>
      <c r="BL4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115.8239976394681</v>
      </c>
      <c r="BM4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74.39865794318986</v>
      </c>
      <c r="BN4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34.434161460382406</v>
      </c>
      <c r="BO4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29.112518325596035</v>
      </c>
      <c r="BP487">
        <f>SUM(Таб[[#This Row],[1]:[12]])</f>
        <v>1326.1326000000001</v>
      </c>
    </row>
    <row r="488" spans="2:68" ht="38.25">
      <c r="B488" t="s">
        <v>384</v>
      </c>
      <c r="C488" t="str">
        <f>IFERROR(VLOOKUP(Таб[[#This Row],[Зелений Тариф ЕЦ]],Sheet6!$H$9:$I$29,2,FALSE),"")</f>
        <v>Земля</v>
      </c>
      <c r="G488" s="1" t="s">
        <v>1260</v>
      </c>
      <c r="H488" t="s">
        <v>65</v>
      </c>
      <c r="J488" s="7">
        <v>3.18</v>
      </c>
      <c r="K488" s="8"/>
      <c r="L488" s="8">
        <v>43613</v>
      </c>
      <c r="M488">
        <v>5</v>
      </c>
      <c r="N488" s="49" t="s">
        <v>57</v>
      </c>
      <c r="O488">
        <v>2019</v>
      </c>
      <c r="P488">
        <v>0.15029999999999999</v>
      </c>
      <c r="Q488" s="10"/>
      <c r="R488" s="11">
        <f>ROUND(Таб[[#This Row],[Зелений Тариф ЕЦ]]+Таб[[#This Row],[Зелений Тариф ЕЦ]]*Таб[[#This Row],[% надбавки]],4)</f>
        <v>0.15029999999999999</v>
      </c>
      <c r="S488" s="12"/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0.38</v>
      </c>
      <c r="AY488">
        <v>0.47599999999999998</v>
      </c>
      <c r="BD4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102.39878240616889</v>
      </c>
      <c r="BE4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176.57033447163431</v>
      </c>
      <c r="BF4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297.88736699976391</v>
      </c>
      <c r="BG4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423.40845511055164</v>
      </c>
      <c r="BH4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521.30289224958688</v>
      </c>
      <c r="BI4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540.5214320560234</v>
      </c>
      <c r="BJ4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549.22983290581487</v>
      </c>
      <c r="BK4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474.75799115587381</v>
      </c>
      <c r="BL4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333.32154976788104</v>
      </c>
      <c r="BM4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214.10654503108032</v>
      </c>
      <c r="BN4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99.095595876937608</v>
      </c>
      <c r="BO4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83.780821968683611</v>
      </c>
      <c r="BP488">
        <f>SUM(Таб[[#This Row],[1]:[12]])</f>
        <v>3816.3816000000002</v>
      </c>
    </row>
    <row r="489" spans="2:68" ht="38.25">
      <c r="B489" t="s">
        <v>384</v>
      </c>
      <c r="C489" t="str">
        <f>IFERROR(VLOOKUP(Таб[[#This Row],[Зелений Тариф ЕЦ]],Sheet6!$H$9:$I$29,2,FALSE),"")</f>
        <v>Земля</v>
      </c>
      <c r="G489" s="1" t="s">
        <v>1264</v>
      </c>
      <c r="H489" t="s">
        <v>172</v>
      </c>
      <c r="J489" s="7">
        <v>5.5970000000000004</v>
      </c>
      <c r="K489" s="8"/>
      <c r="L489" s="8">
        <v>42780</v>
      </c>
      <c r="M489">
        <v>2</v>
      </c>
      <c r="N489" s="49" t="s">
        <v>67</v>
      </c>
      <c r="O489">
        <v>2017</v>
      </c>
      <c r="P489">
        <v>0.15989999999999999</v>
      </c>
      <c r="Q489" s="10"/>
      <c r="R489" s="11">
        <f>ROUND(Таб[[#This Row],[Зелений Тариф ЕЦ]]+Таб[[#This Row],[Зелений Тариф ЕЦ]]*Таб[[#This Row],[% надбавки]],4)</f>
        <v>0.15989999999999999</v>
      </c>
      <c r="S489" s="12"/>
      <c r="T489">
        <v>0</v>
      </c>
      <c r="U489">
        <v>0</v>
      </c>
      <c r="V489">
        <v>0</v>
      </c>
      <c r="W489">
        <v>0</v>
      </c>
      <c r="X489">
        <v>0.86899999999999999</v>
      </c>
      <c r="Y489">
        <v>0.93599999999999994</v>
      </c>
      <c r="Z489">
        <v>0.89500000000000024</v>
      </c>
      <c r="AA489">
        <v>0.86899999999999977</v>
      </c>
      <c r="AB489">
        <v>0.5860000000000003</v>
      </c>
      <c r="AC489">
        <v>0.31199999999999939</v>
      </c>
      <c r="AD489">
        <v>0.14700000000000024</v>
      </c>
      <c r="AE489">
        <v>7.5000000000000178E-2</v>
      </c>
      <c r="AF489">
        <v>0.13200000000000001</v>
      </c>
      <c r="AG489">
        <v>0.17399999999999999</v>
      </c>
      <c r="AH489">
        <v>0.39600000000000002</v>
      </c>
      <c r="AI489">
        <v>0.85699999999999998</v>
      </c>
      <c r="AJ489">
        <v>0.96</v>
      </c>
      <c r="AK489">
        <v>0.81699999999999995</v>
      </c>
      <c r="AL489">
        <v>0.81200000000000006</v>
      </c>
      <c r="AM489">
        <v>0.875</v>
      </c>
      <c r="AN489">
        <v>0.60599999999999998</v>
      </c>
      <c r="AO489">
        <v>0.53500000000000003</v>
      </c>
      <c r="AP489">
        <v>0.13700000000000001</v>
      </c>
      <c r="AQ489">
        <v>3.9E-2</v>
      </c>
      <c r="AR489">
        <v>3.9E-2</v>
      </c>
      <c r="AS489">
        <v>0.26800000000000002</v>
      </c>
      <c r="AT489">
        <v>0.495</v>
      </c>
      <c r="AU489">
        <v>0.752</v>
      </c>
      <c r="AV489">
        <v>0.70499999999999996</v>
      </c>
      <c r="AW489">
        <v>0.998</v>
      </c>
      <c r="AX489">
        <v>0.89100000000000001</v>
      </c>
      <c r="AY489">
        <v>0.90200000000000002</v>
      </c>
      <c r="BD4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180.22829720985132</v>
      </c>
      <c r="BE4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310.77489372255883</v>
      </c>
      <c r="BF4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524.30050097411288</v>
      </c>
      <c r="BG4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745.22551045715636</v>
      </c>
      <c r="BH4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917.52587670469745</v>
      </c>
      <c r="BI4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951.35171547722086</v>
      </c>
      <c r="BJ4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966.67904867102061</v>
      </c>
      <c r="BK4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835.60392342749242</v>
      </c>
      <c r="BL4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586.66689121095305</v>
      </c>
      <c r="BM4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376.84098507514364</v>
      </c>
      <c r="BN4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174.41448117082388</v>
      </c>
      <c r="BO4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147.45951589896924</v>
      </c>
      <c r="BP489">
        <f>SUM(Таб[[#This Row],[1]:[12]])</f>
        <v>6717.0716400000001</v>
      </c>
    </row>
    <row r="490" spans="2:68" ht="38.25">
      <c r="B490" t="s">
        <v>384</v>
      </c>
      <c r="C490" t="str">
        <f>IFERROR(VLOOKUP(Таб[[#This Row],[Зелений Тариф ЕЦ]],Sheet6!$H$9:$I$29,2,FALSE),"")</f>
        <v>Земля</v>
      </c>
      <c r="G490" s="1" t="s">
        <v>1264</v>
      </c>
      <c r="H490" t="s">
        <v>172</v>
      </c>
      <c r="J490" s="7">
        <v>3.992</v>
      </c>
      <c r="K490" s="8"/>
      <c r="L490" s="8">
        <v>43277</v>
      </c>
      <c r="M490">
        <v>6</v>
      </c>
      <c r="N490" s="49" t="s">
        <v>57</v>
      </c>
      <c r="O490">
        <v>2018</v>
      </c>
      <c r="P490">
        <v>0.15029999999999999</v>
      </c>
      <c r="Q490" s="10"/>
      <c r="R490" s="11">
        <f>ROUND(Таб[[#This Row],[Зелений Тариф ЕЦ]]+Таб[[#This Row],[Зелений Тариф ЕЦ]]*Таб[[#This Row],[% надбавки]],4)</f>
        <v>0.15029999999999999</v>
      </c>
      <c r="S490" s="12"/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5.3999999999999999E-2</v>
      </c>
      <c r="AL490">
        <v>0.57499999999999996</v>
      </c>
      <c r="AM490">
        <v>0.63700000000000001</v>
      </c>
      <c r="AN490">
        <v>0.43</v>
      </c>
      <c r="AO490">
        <v>0.372</v>
      </c>
      <c r="AP490">
        <v>9.4E-2</v>
      </c>
      <c r="AQ490">
        <v>3.2000000000000001E-2</v>
      </c>
      <c r="AR490">
        <v>2.4E-2</v>
      </c>
      <c r="AS490">
        <v>0.189</v>
      </c>
      <c r="AT490">
        <v>0.35099999999999998</v>
      </c>
      <c r="AU490">
        <v>0.53200000000000003</v>
      </c>
      <c r="AV490">
        <v>0.48399999999999999</v>
      </c>
      <c r="AW490">
        <v>0.70099999999999996</v>
      </c>
      <c r="AX490">
        <v>0.626</v>
      </c>
      <c r="AY490">
        <v>0.63700000000000001</v>
      </c>
      <c r="BD4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128.54589288220947</v>
      </c>
      <c r="BE4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221.65684755055474</v>
      </c>
      <c r="BF4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373.95168838460933</v>
      </c>
      <c r="BG4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531.52407320796283</v>
      </c>
      <c r="BH4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654.41545467306628</v>
      </c>
      <c r="BI4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678.54137005271855</v>
      </c>
      <c r="BJ4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689.4734254591234</v>
      </c>
      <c r="BK4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595.98550336297114</v>
      </c>
      <c r="BL4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418.43384486584318</v>
      </c>
      <c r="BM4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268.77777602643795</v>
      </c>
      <c r="BN4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124.39925117633176</v>
      </c>
      <c r="BO4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105.17391235817138</v>
      </c>
      <c r="BP490">
        <f>SUM(Таб[[#This Row],[1]:[12]])</f>
        <v>4790.8790399999998</v>
      </c>
    </row>
    <row r="491" spans="2:68" ht="38.25">
      <c r="B491" t="s">
        <v>384</v>
      </c>
      <c r="C491" t="str">
        <f>IFERROR(VLOOKUP(Таб[[#This Row],[Зелений Тариф ЕЦ]],Sheet6!$H$9:$I$29,2,FALSE),"")</f>
        <v>Земля</v>
      </c>
      <c r="D491" t="s">
        <v>3409</v>
      </c>
      <c r="F491" t="s">
        <v>3287</v>
      </c>
      <c r="G491" s="1" t="s">
        <v>1269</v>
      </c>
      <c r="H491" t="s">
        <v>172</v>
      </c>
      <c r="J491" s="7">
        <v>11.484999999999999</v>
      </c>
      <c r="K491" s="8"/>
      <c r="L491" s="8">
        <v>43476</v>
      </c>
      <c r="M491">
        <v>1</v>
      </c>
      <c r="N491" s="49" t="s">
        <v>67</v>
      </c>
      <c r="O491">
        <v>2019</v>
      </c>
      <c r="P491">
        <v>0.15029999999999999</v>
      </c>
      <c r="Q491" s="10"/>
      <c r="R491" s="11">
        <f>ROUND(Таб[[#This Row],[Зелений Тариф ЕЦ]]+Таб[[#This Row],[Зелений Тариф ЕЦ]]*Таб[[#This Row],[% надбавки]],4)</f>
        <v>0.15029999999999999</v>
      </c>
      <c r="S491" s="12"/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0.63300000000000001</v>
      </c>
      <c r="AT491">
        <v>1.151</v>
      </c>
      <c r="AU491">
        <v>1.544</v>
      </c>
      <c r="AV491">
        <v>1.508</v>
      </c>
      <c r="AW491">
        <v>2.0030000000000001</v>
      </c>
      <c r="AX491">
        <v>1.923</v>
      </c>
      <c r="AY491">
        <v>1.8140000000000001</v>
      </c>
      <c r="BD4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369.82704903611619</v>
      </c>
      <c r="BE4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637.70763880714446</v>
      </c>
      <c r="BF4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1075.8605062868833</v>
      </c>
      <c r="BG4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1529.1968889763157</v>
      </c>
      <c r="BH4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1882.7558860020458</v>
      </c>
      <c r="BI4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1952.1662412463611</v>
      </c>
      <c r="BJ4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1983.6178084664411</v>
      </c>
      <c r="BK4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1714.6526818947204</v>
      </c>
      <c r="BL4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1203.8358487685891</v>
      </c>
      <c r="BM4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773.27473889369719</v>
      </c>
      <c r="BN4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357.89714422849949</v>
      </c>
      <c r="BO4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302.5857673931859</v>
      </c>
      <c r="BP491">
        <f>SUM(Таб[[#This Row],[1]:[12]])</f>
        <v>13783.378199999999</v>
      </c>
    </row>
    <row r="492" spans="2:68" ht="76.5">
      <c r="B492" t="s">
        <v>384</v>
      </c>
      <c r="C492" t="str">
        <f>IFERROR(VLOOKUP(Таб[[#This Row],[Зелений Тариф ЕЦ]],Sheet6!$H$9:$I$29,2,FALSE),"")</f>
        <v>Земля</v>
      </c>
      <c r="D492" t="s">
        <v>3359</v>
      </c>
      <c r="E492" t="s">
        <v>3385</v>
      </c>
      <c r="F492" t="s">
        <v>3287</v>
      </c>
      <c r="G492" s="1" t="s">
        <v>1273</v>
      </c>
      <c r="H492" t="s">
        <v>65</v>
      </c>
      <c r="J492" s="7">
        <v>2.8029999999999999</v>
      </c>
      <c r="K492" s="8"/>
      <c r="L492" s="8">
        <v>41389</v>
      </c>
      <c r="M492">
        <v>4</v>
      </c>
      <c r="N492" s="49" t="s">
        <v>57</v>
      </c>
      <c r="O492">
        <v>2013</v>
      </c>
      <c r="P492">
        <v>0.46529999999999999</v>
      </c>
      <c r="Q492" s="10"/>
      <c r="R492" s="11">
        <f>ROUND(Таб[[#This Row],[Зелений Тариф ЕЦ]]+Таб[[#This Row],[Зелений Тариф ЕЦ]]*Таб[[#This Row],[% надбавки]],4)</f>
        <v>0.46529999999999999</v>
      </c>
      <c r="S492" s="12"/>
      <c r="T492">
        <v>9.8000000000000004E-2</v>
      </c>
      <c r="U492">
        <v>0.16800000000000001</v>
      </c>
      <c r="V492">
        <v>0.22499999999999998</v>
      </c>
      <c r="W492">
        <v>0.32000000000000006</v>
      </c>
      <c r="X492">
        <v>0.378</v>
      </c>
      <c r="Y492">
        <v>0.43399999999999994</v>
      </c>
      <c r="Z492">
        <v>0.44699999999999984</v>
      </c>
      <c r="AA492">
        <v>0.41700000000000026</v>
      </c>
      <c r="AB492">
        <v>0.28200000000000003</v>
      </c>
      <c r="AC492">
        <v>0.21999999999999975</v>
      </c>
      <c r="AD492">
        <v>5.8000000000000274E-2</v>
      </c>
      <c r="AE492">
        <v>4.9999999999999822E-2</v>
      </c>
      <c r="AF492">
        <v>8.2000000000000003E-2</v>
      </c>
      <c r="AG492">
        <v>0.111</v>
      </c>
      <c r="AH492">
        <v>0.222</v>
      </c>
      <c r="AI492">
        <v>0.39200000000000002</v>
      </c>
      <c r="AJ492">
        <v>0.432</v>
      </c>
      <c r="AK492">
        <v>0.33300000000000002</v>
      </c>
      <c r="AL492">
        <v>0.36</v>
      </c>
      <c r="AM492">
        <v>0.39</v>
      </c>
      <c r="AN492">
        <v>0.33400000000000002</v>
      </c>
      <c r="AO492">
        <v>0.26800000000000002</v>
      </c>
      <c r="AP492">
        <v>5.7000000000000002E-2</v>
      </c>
      <c r="AQ492">
        <v>4.2999999999999997E-2</v>
      </c>
      <c r="AR492">
        <v>0.04</v>
      </c>
      <c r="AS492">
        <v>0.184</v>
      </c>
      <c r="AT492">
        <v>0.28000000000000003</v>
      </c>
      <c r="AU492">
        <v>0.30299999999999999</v>
      </c>
      <c r="AV492">
        <v>0.3</v>
      </c>
      <c r="AW492">
        <v>0.41299999999999998</v>
      </c>
      <c r="AX492">
        <v>0.40200000000000002</v>
      </c>
      <c r="AY492">
        <v>0.38600000000000001</v>
      </c>
      <c r="BD4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90.259052542292864</v>
      </c>
      <c r="BE4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155.63731054213548</v>
      </c>
      <c r="BF4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262.57178921394285</v>
      </c>
      <c r="BG4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373.21191813675347</v>
      </c>
      <c r="BH4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459.5006311244</v>
      </c>
      <c r="BI4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476.44074655755765</v>
      </c>
      <c r="BJ4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484.11673636320717</v>
      </c>
      <c r="BK4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418.47378905972141</v>
      </c>
      <c r="BL4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293.80512704382721</v>
      </c>
      <c r="BM4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188.72347349752141</v>
      </c>
      <c r="BN4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87.347470202218915</v>
      </c>
      <c r="BO4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73.848315716421439</v>
      </c>
      <c r="BP492">
        <f>SUM(Таб[[#This Row],[1]:[12]])</f>
        <v>3363.9363600000001</v>
      </c>
    </row>
    <row r="493" spans="2:68" ht="51">
      <c r="B493" t="s">
        <v>384</v>
      </c>
      <c r="C493" t="str">
        <f>IFERROR(VLOOKUP(Таб[[#This Row],[Зелений Тариф ЕЦ]],Sheet6!$H$9:$I$29,2,FALSE),"")</f>
        <v>Земля</v>
      </c>
      <c r="G493" s="1" t="s">
        <v>1275</v>
      </c>
      <c r="H493" t="s">
        <v>172</v>
      </c>
      <c r="J493" s="7">
        <v>1</v>
      </c>
      <c r="K493" s="8"/>
      <c r="L493" s="8">
        <v>43333</v>
      </c>
      <c r="M493">
        <v>8</v>
      </c>
      <c r="N493" s="49" t="s">
        <v>60</v>
      </c>
      <c r="O493">
        <v>2018</v>
      </c>
      <c r="P493">
        <v>0.15029999999999999</v>
      </c>
      <c r="Q493" s="10"/>
      <c r="R493" s="11">
        <f>ROUND(Таб[[#This Row],[Зелений Тариф ЕЦ]]+Таб[[#This Row],[Зелений Тариф ЕЦ]]*Таб[[#This Row],[% надбавки]],4)</f>
        <v>0.15029999999999999</v>
      </c>
      <c r="S493" s="12"/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0.108</v>
      </c>
      <c r="AO493">
        <v>8.8999999999999996E-2</v>
      </c>
      <c r="AP493">
        <v>2.8000000000000001E-2</v>
      </c>
      <c r="AQ493">
        <v>1.0999999999999999E-2</v>
      </c>
      <c r="AR493">
        <v>2.4E-2</v>
      </c>
      <c r="AS493">
        <v>0.19800000000000001</v>
      </c>
      <c r="AT493">
        <v>0.32100000000000001</v>
      </c>
      <c r="AU493">
        <v>0.433</v>
      </c>
      <c r="AV493">
        <v>0.41</v>
      </c>
      <c r="AW493">
        <v>0.56000000000000005</v>
      </c>
      <c r="AX493">
        <v>0.52800000000000002</v>
      </c>
      <c r="AY493">
        <v>0.52500000000000002</v>
      </c>
      <c r="BD4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32.200874970493359</v>
      </c>
      <c r="BE4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55.525262412463604</v>
      </c>
      <c r="BF4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93.6752726414352</v>
      </c>
      <c r="BG4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133.14731292784643</v>
      </c>
      <c r="BH4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163.9317271225116</v>
      </c>
      <c r="BI4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169.9752930993784</v>
      </c>
      <c r="BJ4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172.71378393264615</v>
      </c>
      <c r="BK4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149.29496577228736</v>
      </c>
      <c r="BL4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104.81809741128336</v>
      </c>
      <c r="BM4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67.32910221103154</v>
      </c>
      <c r="BN4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31.162137068219373</v>
      </c>
      <c r="BO4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26.346170430403653</v>
      </c>
      <c r="BP493">
        <f>SUM(Таб[[#This Row],[1]:[12]])</f>
        <v>1200.1200000000001</v>
      </c>
    </row>
    <row r="494" spans="2:68" ht="51">
      <c r="B494" t="s">
        <v>384</v>
      </c>
      <c r="C494" t="str">
        <f>IFERROR(VLOOKUP(Таб[[#This Row],[Зелений Тариф ЕЦ]],Sheet6!$H$9:$I$29,2,FALSE),"")</f>
        <v>Земля</v>
      </c>
      <c r="G494" s="1" t="s">
        <v>1275</v>
      </c>
      <c r="H494" t="s">
        <v>172</v>
      </c>
      <c r="J494" s="7">
        <v>2.3079999999999998</v>
      </c>
      <c r="K494" s="8"/>
      <c r="L494" s="8">
        <v>43494</v>
      </c>
      <c r="M494">
        <v>1</v>
      </c>
      <c r="N494" s="49" t="s">
        <v>67</v>
      </c>
      <c r="O494">
        <v>2019</v>
      </c>
      <c r="P494">
        <v>0.15029999999999999</v>
      </c>
      <c r="Q494" s="10"/>
      <c r="R494" s="11">
        <f>ROUND(Таб[[#This Row],[Зелений Тариф ЕЦ]]+Таб[[#This Row],[Зелений Тариф ЕЦ]]*Таб[[#This Row],[% надбавки]],4)</f>
        <v>0.15029999999999999</v>
      </c>
      <c r="S494" s="12"/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BD4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74.319619431898658</v>
      </c>
      <c r="BE4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128.15230564796599</v>
      </c>
      <c r="BF4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216.20252925643246</v>
      </c>
      <c r="BG4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307.3039982374695</v>
      </c>
      <c r="BH4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378.35442619875676</v>
      </c>
      <c r="BI4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392.30297647336533</v>
      </c>
      <c r="BJ4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398.62341331654727</v>
      </c>
      <c r="BK4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344.57278100243923</v>
      </c>
      <c r="BL4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241.92016882524194</v>
      </c>
      <c r="BM4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155.39556790306079</v>
      </c>
      <c r="BN4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71.922212353450305</v>
      </c>
      <c r="BO4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60.806961353371619</v>
      </c>
      <c r="BP494">
        <f>SUM(Таб[[#This Row],[1]:[12]])</f>
        <v>2769.8769600000001</v>
      </c>
    </row>
    <row r="495" spans="2:68" ht="51">
      <c r="B495" t="s">
        <v>384</v>
      </c>
      <c r="C495" t="str">
        <f>IFERROR(VLOOKUP(Таб[[#This Row],[Зелений Тариф ЕЦ]],Sheet6!$H$9:$I$29,2,FALSE),"")</f>
        <v>Земля</v>
      </c>
      <c r="G495" s="1" t="s">
        <v>1279</v>
      </c>
      <c r="H495" t="s">
        <v>233</v>
      </c>
      <c r="I495" t="s">
        <v>289</v>
      </c>
      <c r="J495" s="7">
        <v>5.407</v>
      </c>
      <c r="K495" s="8"/>
      <c r="L495" s="8">
        <v>41137</v>
      </c>
      <c r="M495">
        <v>8</v>
      </c>
      <c r="N495" s="49" t="s">
        <v>60</v>
      </c>
      <c r="O495">
        <v>2012</v>
      </c>
      <c r="P495">
        <v>0.46529999999999999</v>
      </c>
      <c r="Q495" s="10"/>
      <c r="R495" s="11">
        <f>ROUND(Таб[[#This Row],[Зелений Тариф ЕЦ]]+Таб[[#This Row],[Зелений Тариф ЕЦ]]*Таб[[#This Row],[% надбавки]],4)</f>
        <v>0.46529999999999999</v>
      </c>
      <c r="S495" s="12"/>
      <c r="T495">
        <v>0.20699999999999999</v>
      </c>
      <c r="U495">
        <v>0.214</v>
      </c>
      <c r="V495">
        <v>0.56899999999999995</v>
      </c>
      <c r="W495">
        <v>0.57099999999999995</v>
      </c>
      <c r="X495">
        <v>0.82200000000000006</v>
      </c>
      <c r="Y495">
        <v>0.79400000000000004</v>
      </c>
      <c r="Z495">
        <v>0.81499999999999995</v>
      </c>
      <c r="AA495">
        <v>0.8019999999999996</v>
      </c>
      <c r="AB495">
        <v>0.54</v>
      </c>
      <c r="AC495">
        <v>0.4220000000000006</v>
      </c>
      <c r="AD495">
        <v>0.22100000000000009</v>
      </c>
      <c r="AE495">
        <v>6.7999999999999616E-2</v>
      </c>
      <c r="AF495">
        <v>0.17299999999999999</v>
      </c>
      <c r="AG495">
        <v>0.27200000000000002</v>
      </c>
      <c r="AH495">
        <v>0.38100000000000001</v>
      </c>
      <c r="AI495">
        <v>0.71499999999999997</v>
      </c>
      <c r="AJ495">
        <v>0.82099999999999995</v>
      </c>
      <c r="AK495">
        <v>0.70899999999999996</v>
      </c>
      <c r="AL495">
        <v>0.753</v>
      </c>
      <c r="AM495">
        <v>0.75800000000000001</v>
      </c>
      <c r="AN495">
        <v>0.63700000000000001</v>
      </c>
      <c r="AO495">
        <v>0.47599999999999998</v>
      </c>
      <c r="AP495">
        <v>0.251</v>
      </c>
      <c r="AQ495">
        <v>7.3999999999999996E-2</v>
      </c>
      <c r="AR495">
        <v>0.152</v>
      </c>
      <c r="AS495">
        <v>0.36799999999999999</v>
      </c>
      <c r="AT495">
        <v>0.60599999999999998</v>
      </c>
      <c r="AU495">
        <v>0.71099999999999997</v>
      </c>
      <c r="AV495">
        <v>0.59799999999999998</v>
      </c>
      <c r="AW495">
        <v>0.78800000000000003</v>
      </c>
      <c r="AX495">
        <v>0.78200000000000003</v>
      </c>
      <c r="AY495">
        <v>0.72099999999999997</v>
      </c>
      <c r="BD4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174.11013096545759</v>
      </c>
      <c r="BE4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300.22509386419074</v>
      </c>
      <c r="BF4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506.50219917224018</v>
      </c>
      <c r="BG4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719.92752100086545</v>
      </c>
      <c r="BH4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886.37884855142033</v>
      </c>
      <c r="BI4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919.05640978833912</v>
      </c>
      <c r="BJ4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933.86342972381772</v>
      </c>
      <c r="BK4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807.2378799307578</v>
      </c>
      <c r="BL4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566.75145270280916</v>
      </c>
      <c r="BM4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364.04845565504763</v>
      </c>
      <c r="BN4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168.49367512786216</v>
      </c>
      <c r="BO4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142.45374351719255</v>
      </c>
      <c r="BP495">
        <f>SUM(Таб[[#This Row],[1]:[12]])</f>
        <v>6489.0488399999995</v>
      </c>
    </row>
    <row r="496" spans="2:68" ht="51">
      <c r="B496" t="s">
        <v>384</v>
      </c>
      <c r="C496" t="str">
        <f>IFERROR(VLOOKUP(Таб[[#This Row],[Зелений Тариф ЕЦ]],Sheet6!$H$9:$I$29,2,FALSE),"")</f>
        <v>Земля</v>
      </c>
      <c r="G496" s="1" t="s">
        <v>1279</v>
      </c>
      <c r="H496" t="s">
        <v>233</v>
      </c>
      <c r="I496" t="s">
        <v>289</v>
      </c>
      <c r="J496" s="7">
        <v>9.9930000000000003</v>
      </c>
      <c r="K496" s="8"/>
      <c r="L496" s="8">
        <v>41438</v>
      </c>
      <c r="M496">
        <v>6</v>
      </c>
      <c r="N496" s="49" t="s">
        <v>57</v>
      </c>
      <c r="O496">
        <v>2013</v>
      </c>
      <c r="P496">
        <v>0.33929999999999999</v>
      </c>
      <c r="Q496" s="10"/>
      <c r="R496" s="11">
        <f>ROUND(Таб[[#This Row],[Зелений Тариф ЕЦ]]+Таб[[#This Row],[Зелений Тариф ЕЦ]]*Таб[[#This Row],[% надбавки]],4)</f>
        <v>0.33929999999999999</v>
      </c>
      <c r="S496" s="12"/>
      <c r="T496">
        <v>0.16300000000000001</v>
      </c>
      <c r="U496">
        <v>0.39500000000000002</v>
      </c>
      <c r="V496">
        <v>1.0529999999999999</v>
      </c>
      <c r="W496">
        <v>1.075</v>
      </c>
      <c r="X496">
        <v>1.5350000000000001</v>
      </c>
      <c r="Y496">
        <v>1.5309999999999997</v>
      </c>
      <c r="Z496">
        <v>1.6070000000000002</v>
      </c>
      <c r="AA496">
        <v>1.6029999999999998</v>
      </c>
      <c r="AB496">
        <v>1.0359999999999996</v>
      </c>
      <c r="AC496">
        <v>0.82800000000000118</v>
      </c>
      <c r="AD496">
        <v>0.39100000000000001</v>
      </c>
      <c r="AE496">
        <v>9.6000000000000085E-2</v>
      </c>
      <c r="AF496">
        <v>0.28699999999999998</v>
      </c>
      <c r="AG496">
        <v>0.51</v>
      </c>
      <c r="AH496">
        <v>0.75</v>
      </c>
      <c r="AI496">
        <v>1.41</v>
      </c>
      <c r="AJ496">
        <v>1.5940000000000001</v>
      </c>
      <c r="AK496">
        <v>1.399</v>
      </c>
      <c r="AL496">
        <v>1.4790000000000001</v>
      </c>
      <c r="AM496">
        <v>1.597</v>
      </c>
      <c r="AN496">
        <v>1.292</v>
      </c>
      <c r="AO496">
        <v>0.96399999999999997</v>
      </c>
      <c r="AP496">
        <v>0.53600000000000003</v>
      </c>
      <c r="AQ496">
        <v>0.126</v>
      </c>
      <c r="AR496">
        <v>2.1999999999999999E-2</v>
      </c>
      <c r="AS496">
        <v>0.68500000000000005</v>
      </c>
      <c r="AT496">
        <v>1.131</v>
      </c>
      <c r="AU496">
        <v>1.383</v>
      </c>
      <c r="AV496">
        <v>1.08</v>
      </c>
      <c r="AW496">
        <v>1.6539999999999999</v>
      </c>
      <c r="AX496">
        <v>1.5449999999999999</v>
      </c>
      <c r="AY496">
        <v>1.5269999999999999</v>
      </c>
      <c r="BD4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321.78334358014013</v>
      </c>
      <c r="BE4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554.86394728774894</v>
      </c>
      <c r="BF4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936.09699950586196</v>
      </c>
      <c r="BG4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1330.5410980879692</v>
      </c>
      <c r="BH4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1638.1697491352586</v>
      </c>
      <c r="BI4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1698.5631039420884</v>
      </c>
      <c r="BJ4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1725.9288428389332</v>
      </c>
      <c r="BK4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1491.9045929624676</v>
      </c>
      <c r="BL4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1047.4472474309546</v>
      </c>
      <c r="BM4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672.81971839483833</v>
      </c>
      <c r="BN4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311.4032357227162</v>
      </c>
      <c r="BO4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263.27728111102368</v>
      </c>
      <c r="BP496">
        <f>SUM(Таб[[#This Row],[1]:[12]])</f>
        <v>11992.799160000002</v>
      </c>
    </row>
    <row r="497" spans="2:68" ht="63.75">
      <c r="B497" t="s">
        <v>384</v>
      </c>
      <c r="C497" t="str">
        <f>IFERROR(VLOOKUP(Таб[[#This Row],[Зелений Тариф ЕЦ]],Sheet6!$H$9:$I$29,2,FALSE),"")</f>
        <v>Земля</v>
      </c>
      <c r="G497" s="1" t="s">
        <v>1286</v>
      </c>
      <c r="H497" t="s">
        <v>69</v>
      </c>
      <c r="J497" s="7">
        <v>1.1519999999999999</v>
      </c>
      <c r="K497" s="8"/>
      <c r="L497" s="8">
        <v>41655</v>
      </c>
      <c r="M497">
        <v>1</v>
      </c>
      <c r="N497" s="49" t="s">
        <v>67</v>
      </c>
      <c r="O497">
        <v>2014</v>
      </c>
      <c r="P497">
        <v>0.33929999999999999</v>
      </c>
      <c r="Q497" s="10"/>
      <c r="R497" s="11">
        <f>ROUND(Таб[[#This Row],[Зелений Тариф ЕЦ]]+Таб[[#This Row],[Зелений Тариф ЕЦ]]*Таб[[#This Row],[% надбавки]],4)</f>
        <v>0.33929999999999999</v>
      </c>
      <c r="S497" s="12"/>
      <c r="T497">
        <v>3.9E-2</v>
      </c>
      <c r="U497">
        <v>6.3E-2</v>
      </c>
      <c r="V497">
        <v>0.12100000000000001</v>
      </c>
      <c r="W497">
        <v>0.13599999999999998</v>
      </c>
      <c r="X497">
        <v>0.18400000000000005</v>
      </c>
      <c r="Y497">
        <v>0.17599999999999993</v>
      </c>
      <c r="Z497">
        <v>0.17000000000000004</v>
      </c>
      <c r="AA497">
        <v>0.16500000000000004</v>
      </c>
      <c r="AB497">
        <v>0.15300000000000002</v>
      </c>
      <c r="AC497">
        <v>6.3999999999999835E-2</v>
      </c>
      <c r="AD497">
        <v>1.7000000000000126E-2</v>
      </c>
      <c r="AE497">
        <v>1.4000000000000012E-2</v>
      </c>
      <c r="AF497">
        <v>2.5000000000000001E-2</v>
      </c>
      <c r="AG497">
        <v>4.8000000000000001E-2</v>
      </c>
      <c r="AH497">
        <v>9.7000000000000003E-2</v>
      </c>
      <c r="AI497">
        <v>0.16800000000000001</v>
      </c>
      <c r="AJ497">
        <v>0.187</v>
      </c>
      <c r="AK497">
        <v>0.189</v>
      </c>
      <c r="AL497">
        <v>0.16700000000000001</v>
      </c>
      <c r="AM497">
        <v>0.19700000000000001</v>
      </c>
      <c r="AN497">
        <v>0.121</v>
      </c>
      <c r="AO497">
        <v>0.123</v>
      </c>
      <c r="AP497">
        <v>4.2999999999999997E-2</v>
      </c>
      <c r="AQ497">
        <v>6.0000000000000001E-3</v>
      </c>
      <c r="AR497">
        <v>2.5999999999999999E-2</v>
      </c>
      <c r="AS497">
        <v>5.0999999999999997E-2</v>
      </c>
      <c r="AT497">
        <v>0.11899999999999999</v>
      </c>
      <c r="AU497">
        <v>0.16300000000000001</v>
      </c>
      <c r="AV497">
        <v>0.16900000000000001</v>
      </c>
      <c r="AW497">
        <v>0.186</v>
      </c>
      <c r="AX497">
        <v>0.185</v>
      </c>
      <c r="AY497">
        <v>0.16300000000000001</v>
      </c>
      <c r="BD4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37.095407966008338</v>
      </c>
      <c r="BE4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63.965102299158069</v>
      </c>
      <c r="BF4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107.91391408293333</v>
      </c>
      <c r="BG4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153.38570449287903</v>
      </c>
      <c r="BH4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188.84934964513334</v>
      </c>
      <c r="BI4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195.8115376504839</v>
      </c>
      <c r="BJ4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198.96627909040839</v>
      </c>
      <c r="BK4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171.98780056967504</v>
      </c>
      <c r="BL4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120.75044821779841</v>
      </c>
      <c r="BM4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77.563125747108344</v>
      </c>
      <c r="BN4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35.898781902588716</v>
      </c>
      <c r="BO4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30.350788335825005</v>
      </c>
      <c r="BP497">
        <f>SUM(Таб[[#This Row],[1]:[12]])</f>
        <v>1382.5382399999999</v>
      </c>
    </row>
    <row r="498" spans="2:68" ht="63.75">
      <c r="B498" t="s">
        <v>384</v>
      </c>
      <c r="C498" t="str">
        <f>IFERROR(VLOOKUP(Таб[[#This Row],[Зелений Тариф ЕЦ]],Sheet6!$H$9:$I$29,2,FALSE),"")</f>
        <v>Земля</v>
      </c>
      <c r="G498" s="1" t="s">
        <v>1286</v>
      </c>
      <c r="H498" t="s">
        <v>69</v>
      </c>
      <c r="J498" s="7">
        <v>2.3319999999999999</v>
      </c>
      <c r="K498" s="8"/>
      <c r="L498" s="8">
        <v>43382</v>
      </c>
      <c r="M498">
        <v>10</v>
      </c>
      <c r="N498" s="49" t="s">
        <v>71</v>
      </c>
      <c r="O498">
        <v>2018</v>
      </c>
      <c r="P498">
        <v>0.15029999999999999</v>
      </c>
      <c r="Q498" s="10"/>
      <c r="R498" s="11">
        <f>ROUND(Таб[[#This Row],[Зелений Тариф ЕЦ]]+Таб[[#This Row],[Зелений Тариф ЕЦ]]*Таб[[#This Row],[% надбавки]],4)</f>
        <v>0.15029999999999999</v>
      </c>
      <c r="S498" s="12"/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6.3E-2</v>
      </c>
      <c r="AS498">
        <v>0.111</v>
      </c>
      <c r="AT498">
        <v>0.253</v>
      </c>
      <c r="AU498">
        <v>0.34899999999999998</v>
      </c>
      <c r="AV498">
        <v>0.36899999999999999</v>
      </c>
      <c r="AW498">
        <v>0.41099999999999998</v>
      </c>
      <c r="AX498">
        <v>0.40899999999999997</v>
      </c>
      <c r="AY498">
        <v>0.35199999999999998</v>
      </c>
      <c r="BD4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75.092440431190496</v>
      </c>
      <c r="BE4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129.48491194586515</v>
      </c>
      <c r="BF4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218.45073579982687</v>
      </c>
      <c r="BG4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310.49953374773781</v>
      </c>
      <c r="BH4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382.28878764969704</v>
      </c>
      <c r="BI4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396.38238350775038</v>
      </c>
      <c r="BJ4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402.76854413093082</v>
      </c>
      <c r="BK4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348.15586018097406</v>
      </c>
      <c r="BL4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244.43580316311278</v>
      </c>
      <c r="BM4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157.01146635612554</v>
      </c>
      <c r="BN4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72.670103643087586</v>
      </c>
      <c r="BO4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61.439269443701313</v>
      </c>
      <c r="BP498">
        <f>SUM(Таб[[#This Row],[1]:[12]])</f>
        <v>2798.6798400000002</v>
      </c>
    </row>
    <row r="499" spans="2:68" ht="38.25">
      <c r="B499" t="s">
        <v>384</v>
      </c>
      <c r="C499" t="str">
        <f>IFERROR(VLOOKUP(Таб[[#This Row],[Зелений Тариф ЕЦ]],Sheet6!$H$9:$I$29,2,FALSE),"")</f>
        <v>Земля</v>
      </c>
      <c r="D499" t="s">
        <v>3366</v>
      </c>
      <c r="F499" t="s">
        <v>3287</v>
      </c>
      <c r="G499" s="1" t="s">
        <v>1291</v>
      </c>
      <c r="H499" t="s">
        <v>198</v>
      </c>
      <c r="J499" s="7">
        <v>9.8170000000000002</v>
      </c>
      <c r="K499" s="8"/>
      <c r="L499" s="8">
        <v>42759</v>
      </c>
      <c r="M499">
        <v>1</v>
      </c>
      <c r="N499" s="49" t="s">
        <v>67</v>
      </c>
      <c r="O499">
        <v>2017</v>
      </c>
      <c r="P499">
        <v>0.15989999999999999</v>
      </c>
      <c r="Q499" s="10">
        <v>0.05</v>
      </c>
      <c r="R499" s="11">
        <f>ROUND(Таб[[#This Row],[Зелений Тариф ЕЦ]]+Таб[[#This Row],[Зелений Тариф ЕЦ]]*Таб[[#This Row],[% надбавки]],4)</f>
        <v>0.16789999999999999</v>
      </c>
      <c r="S499" s="12">
        <v>43263</v>
      </c>
      <c r="T499">
        <v>0</v>
      </c>
      <c r="U499">
        <v>0.51600000000000001</v>
      </c>
      <c r="V499">
        <v>0.94399999999999995</v>
      </c>
      <c r="W499">
        <v>1.3679999999999999</v>
      </c>
      <c r="X499">
        <v>1.5020000000000002</v>
      </c>
      <c r="Y499">
        <v>1.6539999999999999</v>
      </c>
      <c r="Z499">
        <v>1.5730000000000004</v>
      </c>
      <c r="AA499">
        <v>1.4789999999999992</v>
      </c>
      <c r="AB499">
        <v>1.0700000000000003</v>
      </c>
      <c r="AC499">
        <v>0.53299999999999947</v>
      </c>
      <c r="AD499">
        <v>0.23399999999999999</v>
      </c>
      <c r="AE499">
        <v>0.14300000000000068</v>
      </c>
      <c r="AF499">
        <v>0.23699999999999999</v>
      </c>
      <c r="AG499">
        <v>0.376</v>
      </c>
      <c r="AH499">
        <v>0.76600000000000001</v>
      </c>
      <c r="AI499">
        <v>1.538</v>
      </c>
      <c r="AJ499">
        <v>1.67</v>
      </c>
      <c r="AK499">
        <v>1.448</v>
      </c>
      <c r="AL499">
        <v>1.381</v>
      </c>
      <c r="AM499">
        <v>1.619</v>
      </c>
      <c r="AN499">
        <v>0.98799999999999999</v>
      </c>
      <c r="AO499">
        <v>0.93600000000000005</v>
      </c>
      <c r="AP499">
        <v>0.22</v>
      </c>
      <c r="AQ499">
        <v>9.4E-2</v>
      </c>
      <c r="AR499">
        <v>6.0999999999999999E-2</v>
      </c>
      <c r="AS499">
        <v>0.38900000000000001</v>
      </c>
      <c r="AT499">
        <v>0.89</v>
      </c>
      <c r="AU499">
        <v>1.2909999999999999</v>
      </c>
      <c r="AV499">
        <v>1.282</v>
      </c>
      <c r="AW499">
        <v>1.66</v>
      </c>
      <c r="AX499">
        <v>0.81200000000000006</v>
      </c>
      <c r="AY499">
        <v>1.5009999999999999</v>
      </c>
      <c r="BD4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316.1159895853333</v>
      </c>
      <c r="BE4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545.09150110315534</v>
      </c>
      <c r="BF4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919.61015152096945</v>
      </c>
      <c r="BG4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1307.107171012668</v>
      </c>
      <c r="BH4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1609.3177651616966</v>
      </c>
      <c r="BI4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1668.647452356598</v>
      </c>
      <c r="BJ4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1695.5312168667874</v>
      </c>
      <c r="BK4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1465.6286789865449</v>
      </c>
      <c r="BL4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1028.9992622865689</v>
      </c>
      <c r="BM4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660.96979640569668</v>
      </c>
      <c r="BN4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305.91869959870962</v>
      </c>
      <c r="BO4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258.64035511527265</v>
      </c>
      <c r="BP499">
        <f>SUM(Таб[[#This Row],[1]:[12]])</f>
        <v>11781.578039999999</v>
      </c>
    </row>
    <row r="500" spans="2:68" ht="38.25">
      <c r="B500" t="s">
        <v>384</v>
      </c>
      <c r="C500" t="str">
        <f>IFERROR(VLOOKUP(Таб[[#This Row],[Зелений Тариф ЕЦ]],Sheet6!$H$9:$I$29,2,FALSE),"")</f>
        <v>Земля</v>
      </c>
      <c r="G500" s="1" t="s">
        <v>1293</v>
      </c>
      <c r="H500" t="s">
        <v>69</v>
      </c>
      <c r="J500" s="7">
        <v>9.9890000000000008</v>
      </c>
      <c r="K500" s="8"/>
      <c r="L500" s="8">
        <v>43627</v>
      </c>
      <c r="M500">
        <v>6</v>
      </c>
      <c r="N500" s="49" t="s">
        <v>57</v>
      </c>
      <c r="O500">
        <v>2019</v>
      </c>
      <c r="P500">
        <v>0.15029999999999999</v>
      </c>
      <c r="Q500" s="10"/>
      <c r="R500" s="11">
        <f>ROUND(Таб[[#This Row],[Зелений Тариф ЕЦ]]+Таб[[#This Row],[Зелений Тариф ЕЦ]]*Таб[[#This Row],[% надбавки]],4)</f>
        <v>0.15029999999999999</v>
      </c>
      <c r="S500" s="12"/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0.11700000000000001</v>
      </c>
      <c r="BD5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321.65454008025813</v>
      </c>
      <c r="BE5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554.64184623809911</v>
      </c>
      <c r="BF5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935.72229841529634</v>
      </c>
      <c r="BG5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1330.0085088362578</v>
      </c>
      <c r="BH5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1637.5140222267687</v>
      </c>
      <c r="BI5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1697.8832027696908</v>
      </c>
      <c r="BJ5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1725.2379877032026</v>
      </c>
      <c r="BK5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1491.3074130993787</v>
      </c>
      <c r="BL5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1047.0279750413097</v>
      </c>
      <c r="BM5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672.5504019859942</v>
      </c>
      <c r="BN5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311.27858717444337</v>
      </c>
      <c r="BO5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263.17189642930208</v>
      </c>
      <c r="BP500">
        <f>SUM(Таб[[#This Row],[1]:[12]])</f>
        <v>11987.998680000002</v>
      </c>
    </row>
    <row r="501" spans="2:68" ht="25.5">
      <c r="B501" t="s">
        <v>384</v>
      </c>
      <c r="C501" t="str">
        <f>IFERROR(VLOOKUP(Таб[[#This Row],[Зелений Тариф ЕЦ]],Sheet6!$H$9:$I$29,2,FALSE),"")</f>
        <v>Земля</v>
      </c>
      <c r="D501" t="s">
        <v>3365</v>
      </c>
      <c r="E501" t="s">
        <v>3363</v>
      </c>
      <c r="F501" t="s">
        <v>3364</v>
      </c>
      <c r="G501" s="1" t="s">
        <v>1295</v>
      </c>
      <c r="H501" t="s">
        <v>82</v>
      </c>
      <c r="J501" s="7">
        <v>16.902999999999999</v>
      </c>
      <c r="K501" s="8"/>
      <c r="L501" s="8">
        <v>43494</v>
      </c>
      <c r="M501">
        <v>1</v>
      </c>
      <c r="N501" s="49" t="s">
        <v>67</v>
      </c>
      <c r="O501">
        <v>2019</v>
      </c>
      <c r="P501">
        <v>0.15029999999999999</v>
      </c>
      <c r="Q501" s="10">
        <v>0.05</v>
      </c>
      <c r="R501" s="11">
        <f>ROUND(Таб[[#This Row],[Зелений Тариф ЕЦ]]+Таб[[#This Row],[Зелений Тариф ЕЦ]]*Таб[[#This Row],[% надбавки]],4)</f>
        <v>0.1578</v>
      </c>
      <c r="S501" s="12">
        <v>43550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0.47799999999999998</v>
      </c>
      <c r="AT501">
        <v>2.0019999999999998</v>
      </c>
      <c r="AU501">
        <v>2.274</v>
      </c>
      <c r="AV501">
        <v>2.3620000000000001</v>
      </c>
      <c r="AW501">
        <v>2.67</v>
      </c>
      <c r="AX501">
        <v>2.3340000000000001</v>
      </c>
      <c r="AY501">
        <v>2.7170000000000001</v>
      </c>
      <c r="BD5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544.29138962624916</v>
      </c>
      <c r="BE5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938.54351055787242</v>
      </c>
      <c r="BF5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1583.3931334581789</v>
      </c>
      <c r="BG5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2250.5890304193877</v>
      </c>
      <c r="BH5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2770.9379835518134</v>
      </c>
      <c r="BI5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2873.0923792587928</v>
      </c>
      <c r="BJ5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2919.3810898135175</v>
      </c>
      <c r="BK5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2523.5328064489731</v>
      </c>
      <c r="BL5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1771.7403005429223</v>
      </c>
      <c r="BM5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1138.0638146730662</v>
      </c>
      <c r="BN5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526.73360286411207</v>
      </c>
      <c r="BO5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445.32931878511283</v>
      </c>
      <c r="BP501">
        <f>SUM(Таб[[#This Row],[1]:[12]])</f>
        <v>20285.628359999999</v>
      </c>
    </row>
    <row r="502" spans="2:68" ht="38.25">
      <c r="B502" t="s">
        <v>384</v>
      </c>
      <c r="C502" t="str">
        <f>IFERROR(VLOOKUP(Таб[[#This Row],[Зелений Тариф ЕЦ]],Sheet6!$H$9:$I$29,2,FALSE),"")</f>
        <v>Земля</v>
      </c>
      <c r="G502" s="1" t="s">
        <v>1299</v>
      </c>
      <c r="H502" t="s">
        <v>73</v>
      </c>
      <c r="I502" t="s">
        <v>1301</v>
      </c>
      <c r="J502" s="7">
        <v>1.0069999999999999</v>
      </c>
      <c r="K502" s="8"/>
      <c r="L502" s="8">
        <v>41501</v>
      </c>
      <c r="M502">
        <v>8</v>
      </c>
      <c r="N502" s="49" t="s">
        <v>60</v>
      </c>
      <c r="O502">
        <v>2013</v>
      </c>
      <c r="P502">
        <v>0.33929999999999999</v>
      </c>
      <c r="Q502" s="10"/>
      <c r="R502" s="11">
        <f>ROUND(Таб[[#This Row],[Зелений Тариф ЕЦ]]+Таб[[#This Row],[Зелений Тариф ЕЦ]]*Таб[[#This Row],[% надбавки]],4)</f>
        <v>0.33929999999999999</v>
      </c>
      <c r="S502" s="12"/>
      <c r="T502">
        <v>4.8000000000000001E-2</v>
      </c>
      <c r="U502">
        <v>5.3000000000000005E-2</v>
      </c>
      <c r="V502">
        <v>0.11099999999999999</v>
      </c>
      <c r="W502">
        <v>0.10400000000000001</v>
      </c>
      <c r="X502">
        <v>0.14700000000000002</v>
      </c>
      <c r="Y502">
        <v>0.15199999999999997</v>
      </c>
      <c r="Z502">
        <v>0.14300000000000002</v>
      </c>
      <c r="AA502">
        <v>0.13700000000000001</v>
      </c>
      <c r="AB502">
        <v>0.11999999999999988</v>
      </c>
      <c r="AC502">
        <v>6.5000000000000169E-2</v>
      </c>
      <c r="AD502">
        <v>3.6999999999999922E-2</v>
      </c>
      <c r="AE502">
        <v>2.4999999999999911E-2</v>
      </c>
      <c r="AF502">
        <v>3.4000000000000002E-2</v>
      </c>
      <c r="AG502">
        <v>0.04</v>
      </c>
      <c r="AH502">
        <v>7.0999999999999994E-2</v>
      </c>
      <c r="AI502">
        <v>0.13600000000000001</v>
      </c>
      <c r="AJ502">
        <v>0.152</v>
      </c>
      <c r="AK502">
        <v>0.14899999999999999</v>
      </c>
      <c r="AL502">
        <v>0.14299999999999999</v>
      </c>
      <c r="AM502">
        <v>0.159</v>
      </c>
      <c r="AN502">
        <v>0.115</v>
      </c>
      <c r="AO502">
        <v>0.11899999999999999</v>
      </c>
      <c r="AP502">
        <v>4.3999999999999997E-2</v>
      </c>
      <c r="AQ502">
        <v>1.9E-2</v>
      </c>
      <c r="AR502">
        <v>2.5000000000000001E-2</v>
      </c>
      <c r="AS502">
        <v>5.5E-2</v>
      </c>
      <c r="AT502">
        <v>0.122</v>
      </c>
      <c r="AU502">
        <v>0.13100000000000001</v>
      </c>
      <c r="AV502">
        <v>0.14099999999999999</v>
      </c>
      <c r="AW502">
        <v>0.13800000000000001</v>
      </c>
      <c r="AX502">
        <v>0.14599999999999999</v>
      </c>
      <c r="AY502">
        <v>0.13900000000000001</v>
      </c>
      <c r="BD5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32.426281095286804</v>
      </c>
      <c r="BE5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55.913939249350854</v>
      </c>
      <c r="BF5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94.330999549925252</v>
      </c>
      <c r="BG5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134.07934411834134</v>
      </c>
      <c r="BH5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165.07924921236918</v>
      </c>
      <c r="BI5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171.16512015107403</v>
      </c>
      <c r="BJ5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173.92278042017466</v>
      </c>
      <c r="BK5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150.34003053269336</v>
      </c>
      <c r="BL5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105.55182409316234</v>
      </c>
      <c r="BM5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67.800405926508759</v>
      </c>
      <c r="BN5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31.380272027696911</v>
      </c>
      <c r="BO5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26.530593623416472</v>
      </c>
      <c r="BP502">
        <f>SUM(Таб[[#This Row],[1]:[12]])</f>
        <v>1208.5208400000001</v>
      </c>
    </row>
    <row r="503" spans="2:68" ht="38.25">
      <c r="B503" t="s">
        <v>384</v>
      </c>
      <c r="C503" t="str">
        <f>IFERROR(VLOOKUP(Таб[[#This Row],[Зелений Тариф ЕЦ]],Sheet6!$H$9:$I$29,2,FALSE),"")</f>
        <v>Земля</v>
      </c>
      <c r="G503" s="1" t="s">
        <v>1303</v>
      </c>
      <c r="H503" t="s">
        <v>73</v>
      </c>
      <c r="J503" s="7">
        <v>8.56</v>
      </c>
      <c r="K503" s="8"/>
      <c r="L503" s="8">
        <v>43333</v>
      </c>
      <c r="M503">
        <v>8</v>
      </c>
      <c r="N503" s="49" t="s">
        <v>60</v>
      </c>
      <c r="O503">
        <v>2018</v>
      </c>
      <c r="P503">
        <v>0.15029999999999999</v>
      </c>
      <c r="Q503" s="10"/>
      <c r="R503" s="11">
        <f>ROUND(Таб[[#This Row],[Зелений Тариф ЕЦ]]+Таб[[#This Row],[Зелений Тариф ЕЦ]]*Таб[[#This Row],[% надбавки]],4)</f>
        <v>0.15029999999999999</v>
      </c>
      <c r="S503" s="12"/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1.0249999999999999</v>
      </c>
      <c r="AO503">
        <v>1.083</v>
      </c>
      <c r="AP503">
        <v>0.38</v>
      </c>
      <c r="AQ503">
        <v>0.16300000000000001</v>
      </c>
      <c r="AR503">
        <v>0.20200000000000001</v>
      </c>
      <c r="AS503">
        <v>0.41899999999999998</v>
      </c>
      <c r="AT503">
        <v>1.0840000000000001</v>
      </c>
      <c r="AU503">
        <v>1.3340000000000001</v>
      </c>
      <c r="AV503">
        <v>1.28</v>
      </c>
      <c r="AW503">
        <v>1.4059999999999999</v>
      </c>
      <c r="AX503">
        <v>1.462</v>
      </c>
      <c r="AY503">
        <v>1.4079999999999999</v>
      </c>
      <c r="BD5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275.63948974742317</v>
      </c>
      <c r="BE5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475.29624625068857</v>
      </c>
      <c r="BF5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801.86033381068523</v>
      </c>
      <c r="BG5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1139.7409986623652</v>
      </c>
      <c r="BH5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1403.2555841686994</v>
      </c>
      <c r="BI5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1454.988508930679</v>
      </c>
      <c r="BJ5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1478.4299904634513</v>
      </c>
      <c r="BK5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1277.9649070107798</v>
      </c>
      <c r="BL5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897.24291384058552</v>
      </c>
      <c r="BM5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576.3371149264301</v>
      </c>
      <c r="BN5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266.74789330395788</v>
      </c>
      <c r="BO5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225.5232188842553</v>
      </c>
      <c r="BP503">
        <f>SUM(Таб[[#This Row],[1]:[12]])</f>
        <v>10273.027200000002</v>
      </c>
    </row>
    <row r="504" spans="2:68" ht="38.25">
      <c r="B504" t="s">
        <v>384</v>
      </c>
      <c r="C504" t="str">
        <f>IFERROR(VLOOKUP(Таб[[#This Row],[Зелений Тариф ЕЦ]],Sheet6!$H$9:$I$29,2,FALSE),"")</f>
        <v>Земля</v>
      </c>
      <c r="G504" s="1" t="s">
        <v>1306</v>
      </c>
      <c r="H504" t="s">
        <v>73</v>
      </c>
      <c r="J504" s="7">
        <v>8.2029999999999994</v>
      </c>
      <c r="K504" s="8"/>
      <c r="L504" s="8">
        <v>43111</v>
      </c>
      <c r="M504">
        <v>1</v>
      </c>
      <c r="N504" s="49" t="s">
        <v>67</v>
      </c>
      <c r="O504">
        <v>2018</v>
      </c>
      <c r="P504">
        <v>0.15029999999999999</v>
      </c>
      <c r="Q504" s="10"/>
      <c r="R504" s="11">
        <f>ROUND(Таб[[#This Row],[Зелений Тариф ЕЦ]]+Таб[[#This Row],[Зелений Тариф ЕЦ]]*Таб[[#This Row],[% надбавки]],4)</f>
        <v>0.15029999999999999</v>
      </c>
      <c r="S504" s="12"/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0.34499999999999997</v>
      </c>
      <c r="AH504">
        <v>0.66100000000000003</v>
      </c>
      <c r="AI504">
        <v>1.2909999999999999</v>
      </c>
      <c r="AJ504">
        <v>1.444</v>
      </c>
      <c r="AK504">
        <v>1.377</v>
      </c>
      <c r="AL504">
        <v>1.3109999999999999</v>
      </c>
      <c r="AM504">
        <v>1.448</v>
      </c>
      <c r="AN504">
        <v>0.97899999999999998</v>
      </c>
      <c r="AO504">
        <v>1.03</v>
      </c>
      <c r="AP504">
        <v>0.36199999999999999</v>
      </c>
      <c r="AQ504">
        <v>0.153</v>
      </c>
      <c r="AR504">
        <v>0.189</v>
      </c>
      <c r="AS504">
        <v>0.41499999999999998</v>
      </c>
      <c r="AT504">
        <v>1.028</v>
      </c>
      <c r="AU504">
        <v>1.2729999999999999</v>
      </c>
      <c r="AV504">
        <v>1.228</v>
      </c>
      <c r="AW504">
        <v>1.2849999999999999</v>
      </c>
      <c r="AX504">
        <v>1.41</v>
      </c>
      <c r="AY504">
        <v>1.367</v>
      </c>
      <c r="BD5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264.14377738295696</v>
      </c>
      <c r="BE5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455.47372756943901</v>
      </c>
      <c r="BF5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768.41826147769302</v>
      </c>
      <c r="BG5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1092.207407947124</v>
      </c>
      <c r="BH5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1344.7319575859626</v>
      </c>
      <c r="BI5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1394.3073292942008</v>
      </c>
      <c r="BJ5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1416.7711695994963</v>
      </c>
      <c r="BK5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1224.6666042300731</v>
      </c>
      <c r="BL5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859.82285306475728</v>
      </c>
      <c r="BM5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552.30062543709175</v>
      </c>
      <c r="BN5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255.62301037060348</v>
      </c>
      <c r="BO5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216.11763604060116</v>
      </c>
      <c r="BP504">
        <f>SUM(Таб[[#This Row],[1]:[12]])</f>
        <v>9844.5843600000007</v>
      </c>
    </row>
    <row r="505" spans="2:68" ht="38.25">
      <c r="B505" t="s">
        <v>384</v>
      </c>
      <c r="C505" t="str">
        <f>IFERROR(VLOOKUP(Таб[[#This Row],[Зелений Тариф ЕЦ]],Sheet6!$H$9:$I$29,2,FALSE),"")</f>
        <v>Земля</v>
      </c>
      <c r="G505" s="1" t="s">
        <v>1309</v>
      </c>
      <c r="H505" t="s">
        <v>73</v>
      </c>
      <c r="J505" s="7">
        <v>5.8559999999999999</v>
      </c>
      <c r="K505" s="8"/>
      <c r="L505" s="8">
        <v>43643</v>
      </c>
      <c r="M505">
        <v>6</v>
      </c>
      <c r="N505" s="49" t="s">
        <v>57</v>
      </c>
      <c r="O505">
        <v>2019</v>
      </c>
      <c r="P505">
        <v>0.15029999999999999</v>
      </c>
      <c r="Q505" s="10"/>
      <c r="R505" s="11">
        <f>ROUND(Таб[[#This Row],[Зелений Тариф ЕЦ]]+Таб[[#This Row],[Зелений Тариф ЕЦ]]*Таб[[#This Row],[% надбавки]],4)</f>
        <v>0.15029999999999999</v>
      </c>
      <c r="S505" s="12"/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0.61099999999999999</v>
      </c>
      <c r="AY505">
        <v>0.99</v>
      </c>
      <c r="BD5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188.5683238272091</v>
      </c>
      <c r="BE5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325.15593668738688</v>
      </c>
      <c r="BF5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548.5623965882445</v>
      </c>
      <c r="BG5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779.71066450546846</v>
      </c>
      <c r="BH5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959.98419402942807</v>
      </c>
      <c r="BI5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995.37531638996006</v>
      </c>
      <c r="BJ5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1011.411918709576</v>
      </c>
      <c r="BK5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874.2713195625148</v>
      </c>
      <c r="BL5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613.81477844047527</v>
      </c>
      <c r="BM5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394.27922254780071</v>
      </c>
      <c r="BN5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182.48547467149268</v>
      </c>
      <c r="BO5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154.28317404044378</v>
      </c>
      <c r="BP505">
        <f>SUM(Таб[[#This Row],[1]:[12]])</f>
        <v>7027.90272</v>
      </c>
    </row>
    <row r="506" spans="2:68" ht="25.5">
      <c r="B506" t="s">
        <v>384</v>
      </c>
      <c r="C506" t="str">
        <f>IFERROR(VLOOKUP(Таб[[#This Row],[Зелений Тариф ЕЦ]],Sheet6!$H$9:$I$29,2,FALSE),"")</f>
        <v>Земля</v>
      </c>
      <c r="D506" t="s">
        <v>3365</v>
      </c>
      <c r="E506" t="s">
        <v>3363</v>
      </c>
      <c r="F506" t="s">
        <v>3364</v>
      </c>
      <c r="G506" s="1" t="s">
        <v>1312</v>
      </c>
      <c r="H506" t="s">
        <v>82</v>
      </c>
      <c r="J506" s="7">
        <v>12.994999999999999</v>
      </c>
      <c r="K506" s="8"/>
      <c r="L506" s="8">
        <v>43613</v>
      </c>
      <c r="M506">
        <v>5</v>
      </c>
      <c r="N506" s="49" t="s">
        <v>57</v>
      </c>
      <c r="O506">
        <v>2019</v>
      </c>
      <c r="P506">
        <v>0.15029999999999999</v>
      </c>
      <c r="Q506" s="10">
        <v>0.05</v>
      </c>
      <c r="R506" s="11">
        <f>ROUND(Таб[[#This Row],[Зелений Тариф ЕЦ]]+Таб[[#This Row],[Зелений Тариф ЕЦ]]*Таб[[#This Row],[% надбавки]],4)</f>
        <v>0.1578</v>
      </c>
      <c r="S506" s="12">
        <v>43671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1.125</v>
      </c>
      <c r="AY506">
        <v>2.1160000000000001</v>
      </c>
      <c r="BD5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418.45037024156119</v>
      </c>
      <c r="BE5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721.55078504996459</v>
      </c>
      <c r="BF5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1217.3101679754504</v>
      </c>
      <c r="BG5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1730.2493314973638</v>
      </c>
      <c r="BH5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2130.2927939570382</v>
      </c>
      <c r="BI5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2208.8289338264221</v>
      </c>
      <c r="BJ5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2244.4156222047368</v>
      </c>
      <c r="BK5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1940.0880802108738</v>
      </c>
      <c r="BL5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1362.1111758596271</v>
      </c>
      <c r="BM5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874.94168323235499</v>
      </c>
      <c r="BN5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404.95197120151084</v>
      </c>
      <c r="BO5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342.36848474309545</v>
      </c>
      <c r="BP506">
        <f>SUM(Таб[[#This Row],[1]:[12]])</f>
        <v>15595.5594</v>
      </c>
    </row>
    <row r="507" spans="2:68" ht="38.25">
      <c r="B507" t="s">
        <v>384</v>
      </c>
      <c r="C507" t="str">
        <f>IFERROR(VLOOKUP(Таб[[#This Row],[Зелений Тариф ЕЦ]],Sheet6!$H$9:$I$29,2,FALSE),"")</f>
        <v>Земля</v>
      </c>
      <c r="G507" s="1" t="s">
        <v>1315</v>
      </c>
      <c r="H507" t="s">
        <v>101</v>
      </c>
      <c r="J507" s="7">
        <v>1.1339999999999999</v>
      </c>
      <c r="K507" s="8"/>
      <c r="L507" s="8">
        <v>42766</v>
      </c>
      <c r="M507">
        <v>1</v>
      </c>
      <c r="N507" s="49" t="s">
        <v>67</v>
      </c>
      <c r="O507">
        <v>2017</v>
      </c>
      <c r="P507">
        <v>0.15989999999999999</v>
      </c>
      <c r="Q507" s="10"/>
      <c r="R507" s="11">
        <f>ROUND(Таб[[#This Row],[Зелений Тариф ЕЦ]]+Таб[[#This Row],[Зелений Тариф ЕЦ]]*Таб[[#This Row],[% надбавки]],4)</f>
        <v>0.15989999999999999</v>
      </c>
      <c r="S507" s="12"/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0.09</v>
      </c>
      <c r="AL507">
        <v>0.158</v>
      </c>
      <c r="AM507">
        <v>0.19500000000000001</v>
      </c>
      <c r="AN507">
        <v>0.151</v>
      </c>
      <c r="AO507">
        <v>0.13700000000000001</v>
      </c>
      <c r="AP507">
        <v>3.6999999999999998E-2</v>
      </c>
      <c r="AQ507">
        <v>4.2999999999999997E-2</v>
      </c>
      <c r="AR507">
        <v>4.9000000000000002E-2</v>
      </c>
      <c r="AS507">
        <v>6.8000000000000005E-2</v>
      </c>
      <c r="AT507">
        <v>0.16600000000000001</v>
      </c>
      <c r="AU507">
        <v>0.14799999999999999</v>
      </c>
      <c r="AV507">
        <v>0.17699999999999999</v>
      </c>
      <c r="AW507">
        <v>0.17499999999999999</v>
      </c>
      <c r="AX507">
        <v>0.121</v>
      </c>
      <c r="AY507">
        <v>0.19600000000000001</v>
      </c>
      <c r="BD5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36.515792216539467</v>
      </c>
      <c r="BE5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62.965647575733726</v>
      </c>
      <c r="BF5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106.22775917538752</v>
      </c>
      <c r="BG5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150.98905286017782</v>
      </c>
      <c r="BH5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185.89857855692813</v>
      </c>
      <c r="BI5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192.75198237469507</v>
      </c>
      <c r="BJ5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195.85743097962074</v>
      </c>
      <c r="BK5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169.30049118577386</v>
      </c>
      <c r="BL5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118.86372246439529</v>
      </c>
      <c r="BM5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76.351201907309772</v>
      </c>
      <c r="BN5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35.337863435360774</v>
      </c>
      <c r="BO5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29.87655726807774</v>
      </c>
      <c r="BP507">
        <f>SUM(Таб[[#This Row],[1]:[12]])</f>
        <v>1360.9360799999999</v>
      </c>
    </row>
    <row r="508" spans="2:68" ht="38.25">
      <c r="B508" t="s">
        <v>384</v>
      </c>
      <c r="C508" t="str">
        <f>IFERROR(VLOOKUP(Таб[[#This Row],[Зелений Тариф ЕЦ]],Sheet6!$H$9:$I$29,2,FALSE),"")</f>
        <v>Земля</v>
      </c>
      <c r="G508" s="1" t="s">
        <v>1317</v>
      </c>
      <c r="H508" t="s">
        <v>101</v>
      </c>
      <c r="J508" s="7">
        <v>4.2759999999999998</v>
      </c>
      <c r="K508" s="8"/>
      <c r="L508" s="8">
        <v>43144</v>
      </c>
      <c r="M508">
        <v>2</v>
      </c>
      <c r="N508" s="49" t="s">
        <v>67</v>
      </c>
      <c r="O508">
        <v>2018</v>
      </c>
      <c r="P508">
        <v>0.15029999999999999</v>
      </c>
      <c r="Q508" s="10"/>
      <c r="R508" s="11">
        <f>ROUND(Таб[[#This Row],[Зелений Тариф ЕЦ]]+Таб[[#This Row],[Зелений Тариф ЕЦ]]*Таб[[#This Row],[% надбавки]],4)</f>
        <v>0.15029999999999999</v>
      </c>
      <c r="S508" s="12"/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0.307</v>
      </c>
      <c r="AI508">
        <v>0.72399999999999998</v>
      </c>
      <c r="AJ508">
        <v>0.753</v>
      </c>
      <c r="AK508">
        <v>0.65700000000000003</v>
      </c>
      <c r="AL508">
        <v>0.60099999999999998</v>
      </c>
      <c r="AM508">
        <v>0.75</v>
      </c>
      <c r="AN508">
        <v>0.50900000000000001</v>
      </c>
      <c r="AO508">
        <v>0.49299999999999999</v>
      </c>
      <c r="AP508">
        <v>0.128</v>
      </c>
      <c r="AQ508">
        <v>0.14499999999999999</v>
      </c>
      <c r="AR508">
        <v>0.154</v>
      </c>
      <c r="AS508">
        <v>0.248</v>
      </c>
      <c r="AT508">
        <v>0.60599999999999998</v>
      </c>
      <c r="AU508">
        <v>0.50900000000000001</v>
      </c>
      <c r="AV508">
        <v>0.67</v>
      </c>
      <c r="AW508">
        <v>0.67400000000000004</v>
      </c>
      <c r="AX508">
        <v>0.68300000000000005</v>
      </c>
      <c r="AY508">
        <v>0.68899999999999995</v>
      </c>
      <c r="BD5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137.69094137382959</v>
      </c>
      <c r="BE5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237.42602207569439</v>
      </c>
      <c r="BF5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400.55546581477688</v>
      </c>
      <c r="BG5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569.33791007947116</v>
      </c>
      <c r="BH5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700.9720651758596</v>
      </c>
      <c r="BI5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726.81435329294197</v>
      </c>
      <c r="BJ5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738.52414009599499</v>
      </c>
      <c r="BK5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638.38527364230072</v>
      </c>
      <c r="BL5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448.20218453064757</v>
      </c>
      <c r="BM5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287.89924105437092</v>
      </c>
      <c r="BN5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133.24929810370602</v>
      </c>
      <c r="BO5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112.65622476040599</v>
      </c>
      <c r="BP508">
        <f>SUM(Таб[[#This Row],[1]:[12]])</f>
        <v>5131.7131199999985</v>
      </c>
    </row>
    <row r="509" spans="2:68" ht="38.25">
      <c r="B509" t="s">
        <v>384</v>
      </c>
      <c r="C509" t="str">
        <f>IFERROR(VLOOKUP(Таб[[#This Row],[Зелений Тариф ЕЦ]],Sheet6!$H$9:$I$29,2,FALSE),"")</f>
        <v>Земля</v>
      </c>
      <c r="G509" s="1" t="s">
        <v>1320</v>
      </c>
      <c r="H509" t="s">
        <v>101</v>
      </c>
      <c r="I509" t="s">
        <v>1322</v>
      </c>
      <c r="J509" s="7">
        <v>4.1580000000000004</v>
      </c>
      <c r="K509" s="8"/>
      <c r="L509" s="8">
        <v>43333</v>
      </c>
      <c r="M509">
        <v>8</v>
      </c>
      <c r="N509" s="49" t="s">
        <v>60</v>
      </c>
      <c r="O509">
        <v>2018</v>
      </c>
      <c r="P509">
        <v>0.15029999999999999</v>
      </c>
      <c r="Q509" s="10"/>
      <c r="R509" s="11">
        <f>ROUND(Таб[[#This Row],[Зелений Тариф ЕЦ]]+Таб[[#This Row],[Зелений Тариф ЕЦ]]*Таб[[#This Row],[% надбавки]],4)</f>
        <v>0.15029999999999999</v>
      </c>
      <c r="S509" s="12"/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0.41499999999999998</v>
      </c>
      <c r="AO509">
        <v>0.48499999999999999</v>
      </c>
      <c r="AP509">
        <v>0.128</v>
      </c>
      <c r="AQ509">
        <v>0.13900000000000001</v>
      </c>
      <c r="AR509">
        <v>0.14399999999999999</v>
      </c>
      <c r="AS509">
        <v>0.29099999999999998</v>
      </c>
      <c r="AT509">
        <v>0.74</v>
      </c>
      <c r="AU509">
        <v>0.72699999999999998</v>
      </c>
      <c r="AV509">
        <v>0.82199999999999995</v>
      </c>
      <c r="AW509">
        <v>0.88900000000000001</v>
      </c>
      <c r="AX509">
        <v>0.86199999999999999</v>
      </c>
      <c r="AY509">
        <v>0.86199999999999999</v>
      </c>
      <c r="BD5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133.8912381273114</v>
      </c>
      <c r="BE5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230.87404111102376</v>
      </c>
      <c r="BF5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389.50178364308761</v>
      </c>
      <c r="BG5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553.62652715398531</v>
      </c>
      <c r="BH5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681.62812137540323</v>
      </c>
      <c r="BI5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706.75726870721542</v>
      </c>
      <c r="BJ5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718.14391359194269</v>
      </c>
      <c r="BK5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620.76846768117093</v>
      </c>
      <c r="BL5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435.83364903611619</v>
      </c>
      <c r="BM5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279.95440699346921</v>
      </c>
      <c r="BN5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129.57216592965619</v>
      </c>
      <c r="BO5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109.5473766496184</v>
      </c>
      <c r="BP509">
        <f>SUM(Таб[[#This Row],[1]:[12]])</f>
        <v>4990.0989599999994</v>
      </c>
    </row>
    <row r="510" spans="2:68" ht="38.25">
      <c r="B510" t="s">
        <v>384</v>
      </c>
      <c r="C510" t="str">
        <f>IFERROR(VLOOKUP(Таб[[#This Row],[Зелений Тариф ЕЦ]],Sheet6!$H$9:$I$29,2,FALSE),"")</f>
        <v>Земля</v>
      </c>
      <c r="G510" s="1" t="s">
        <v>1320</v>
      </c>
      <c r="H510" t="s">
        <v>101</v>
      </c>
      <c r="I510" t="s">
        <v>1322</v>
      </c>
      <c r="J510" s="7">
        <v>1.1879999999999999</v>
      </c>
      <c r="K510" s="8"/>
      <c r="L510" s="8">
        <v>43448</v>
      </c>
      <c r="M510">
        <v>12</v>
      </c>
      <c r="N510" s="49" t="s">
        <v>71</v>
      </c>
      <c r="O510">
        <v>2018</v>
      </c>
      <c r="P510">
        <v>0.15029999999999999</v>
      </c>
      <c r="Q510" s="10"/>
      <c r="R510" s="11">
        <f>ROUND(Таб[[#This Row],[Зелений Тариф ЕЦ]]+Таб[[#This Row],[Зелений Тариф ЕЦ]]*Таб[[#This Row],[% надбавки]],4)</f>
        <v>0.15029999999999999</v>
      </c>
      <c r="S510" s="12"/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BD5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38.254639464946102</v>
      </c>
      <c r="BE5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65.964011746006776</v>
      </c>
      <c r="BF5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111.28622389802501</v>
      </c>
      <c r="BG5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158.17900775828153</v>
      </c>
      <c r="BH5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194.75089182154377</v>
      </c>
      <c r="BI5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201.93064820206155</v>
      </c>
      <c r="BJ5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205.18397531198363</v>
      </c>
      <c r="BK5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177.36241933747738</v>
      </c>
      <c r="BL5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124.52389972460462</v>
      </c>
      <c r="BM5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79.986973426705475</v>
      </c>
      <c r="BN5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37.020618837044616</v>
      </c>
      <c r="BO5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31.299250471319539</v>
      </c>
      <c r="BP510">
        <f>SUM(Таб[[#This Row],[1]:[12]])</f>
        <v>1425.7425599999999</v>
      </c>
    </row>
    <row r="511" spans="2:68" ht="38.25">
      <c r="B511" t="s">
        <v>384</v>
      </c>
      <c r="C511" t="str">
        <f>IFERROR(VLOOKUP(Таб[[#This Row],[Зелений Тариф ЕЦ]],Sheet6!$H$9:$I$29,2,FALSE),"")</f>
        <v>Земля</v>
      </c>
      <c r="G511" s="1" t="s">
        <v>1327</v>
      </c>
      <c r="H511" t="s">
        <v>101</v>
      </c>
      <c r="J511" s="7">
        <v>4.21</v>
      </c>
      <c r="K511" s="8"/>
      <c r="L511" s="8">
        <v>41508</v>
      </c>
      <c r="M511">
        <v>8</v>
      </c>
      <c r="N511" s="49" t="s">
        <v>60</v>
      </c>
      <c r="O511">
        <v>2013</v>
      </c>
      <c r="P511">
        <v>0.33929999999999999</v>
      </c>
      <c r="Q511" s="10"/>
      <c r="R511" s="11">
        <f>ROUND(Таб[[#This Row],[Зелений Тариф ЕЦ]]+Таб[[#This Row],[Зелений Тариф ЕЦ]]*Таб[[#This Row],[% надбавки]],4)</f>
        <v>0.33929999999999999</v>
      </c>
      <c r="S511" s="12"/>
      <c r="T511">
        <v>0.21099999999999999</v>
      </c>
      <c r="U511">
        <v>0.24100000000000002</v>
      </c>
      <c r="V511">
        <v>0.46500000000000002</v>
      </c>
      <c r="W511">
        <v>0.54600000000000004</v>
      </c>
      <c r="X511">
        <v>0.69599999999999973</v>
      </c>
      <c r="Y511">
        <v>0.71400000000000041</v>
      </c>
      <c r="Z511">
        <v>0.70299999999999985</v>
      </c>
      <c r="AA511">
        <v>0.63099999999999978</v>
      </c>
      <c r="AB511">
        <v>0.54499999999999993</v>
      </c>
      <c r="AC511">
        <v>0.27300000000000058</v>
      </c>
      <c r="AD511">
        <v>0.13499999999999979</v>
      </c>
      <c r="AE511">
        <v>0.13999999999999968</v>
      </c>
      <c r="AF511">
        <v>0.16700000000000001</v>
      </c>
      <c r="AG511">
        <v>0.14099999999999999</v>
      </c>
      <c r="AH511">
        <v>0.315</v>
      </c>
      <c r="AI511">
        <v>0.66300000000000003</v>
      </c>
      <c r="AJ511">
        <v>0.7</v>
      </c>
      <c r="AK511">
        <v>0.67300000000000004</v>
      </c>
      <c r="AL511">
        <v>0.62</v>
      </c>
      <c r="AM511">
        <v>0.72099999999999997</v>
      </c>
      <c r="AN511">
        <v>0.439</v>
      </c>
      <c r="AO511">
        <v>0.45200000000000001</v>
      </c>
      <c r="AP511">
        <v>0.13400000000000001</v>
      </c>
      <c r="AQ511">
        <v>0.09</v>
      </c>
      <c r="AR511">
        <v>0.13100000000000001</v>
      </c>
      <c r="AS511">
        <v>0.22500000000000001</v>
      </c>
      <c r="AT511">
        <v>0.53600000000000003</v>
      </c>
      <c r="AU511">
        <v>0.55600000000000005</v>
      </c>
      <c r="AV511">
        <v>0.63</v>
      </c>
      <c r="AW511">
        <v>0.66800000000000004</v>
      </c>
      <c r="AX511">
        <v>0.67500000000000004</v>
      </c>
      <c r="AY511">
        <v>0.66400000000000003</v>
      </c>
      <c r="BD5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135.56568362577701</v>
      </c>
      <c r="BE5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233.7613547564718</v>
      </c>
      <c r="BF5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394.37289782044218</v>
      </c>
      <c r="BG5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560.55018742623338</v>
      </c>
      <c r="BH5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690.15257118577381</v>
      </c>
      <c r="BI5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715.59598394838315</v>
      </c>
      <c r="BJ5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727.12503035644045</v>
      </c>
      <c r="BK5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628.53180590132979</v>
      </c>
      <c r="BL5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441.28419010150293</v>
      </c>
      <c r="BM5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283.45552030844283</v>
      </c>
      <c r="BN5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131.19259705720356</v>
      </c>
      <c r="BO5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110.91737751199938</v>
      </c>
      <c r="BP511">
        <f>SUM(Таб[[#This Row],[1]:[12]])</f>
        <v>5052.5052000000005</v>
      </c>
    </row>
    <row r="512" spans="2:68" ht="51">
      <c r="B512" t="s">
        <v>384</v>
      </c>
      <c r="C512" t="str">
        <f>IFERROR(VLOOKUP(Таб[[#This Row],[Зелений Тариф ЕЦ]],Sheet6!$H$9:$I$29,2,FALSE),"")</f>
        <v>Земля</v>
      </c>
      <c r="D512" t="s">
        <v>3370</v>
      </c>
      <c r="F512" t="s">
        <v>3287</v>
      </c>
      <c r="G512" s="1" t="s">
        <v>1330</v>
      </c>
      <c r="H512" t="s">
        <v>69</v>
      </c>
      <c r="J512" s="7">
        <v>6</v>
      </c>
      <c r="K512" s="8"/>
      <c r="L512" s="8">
        <v>41214</v>
      </c>
      <c r="M512">
        <v>11</v>
      </c>
      <c r="N512" s="49" t="s">
        <v>71</v>
      </c>
      <c r="O512">
        <v>2012</v>
      </c>
      <c r="P512">
        <v>0.46529999999999999</v>
      </c>
      <c r="Q512" s="10"/>
      <c r="R512" s="11">
        <f>ROUND(Таб[[#This Row],[Зелений Тариф ЕЦ]]+Таб[[#This Row],[Зелений Тариф ЕЦ]]*Таб[[#This Row],[% надбавки]],4)</f>
        <v>0.46529999999999999</v>
      </c>
      <c r="S512" s="12"/>
      <c r="T512">
        <v>0.22900000000000001</v>
      </c>
      <c r="U512">
        <v>0.33399999999999996</v>
      </c>
      <c r="V512">
        <v>0.67300000000000004</v>
      </c>
      <c r="W512">
        <v>0.78300000000000014</v>
      </c>
      <c r="X512">
        <v>1.0099999999999998</v>
      </c>
      <c r="Y512">
        <v>0.99899999999999967</v>
      </c>
      <c r="Z512">
        <v>0.9740000000000002</v>
      </c>
      <c r="AA512">
        <v>0.99500000000000011</v>
      </c>
      <c r="AB512">
        <v>0.85099999999999998</v>
      </c>
      <c r="AC512">
        <v>0.35299999999999976</v>
      </c>
      <c r="AD512">
        <v>0.1980000000000004</v>
      </c>
      <c r="AE512">
        <v>0.10899999999999999</v>
      </c>
      <c r="AF512">
        <v>7.368941979522188E-2</v>
      </c>
      <c r="AG512">
        <v>9.7136053366428832E-2</v>
      </c>
      <c r="AH512">
        <v>0.49386798014272437</v>
      </c>
      <c r="AI512">
        <v>1.0026227117592308</v>
      </c>
      <c r="AJ512">
        <v>1.080405988209743</v>
      </c>
      <c r="AK512">
        <v>1.0971535836177477</v>
      </c>
      <c r="AL512">
        <v>0.95312426310890497</v>
      </c>
      <c r="AM512">
        <v>1.0449999999999999</v>
      </c>
      <c r="AN512">
        <v>0.64500000000000002</v>
      </c>
      <c r="AO512">
        <v>0.65100000000000002</v>
      </c>
      <c r="AP512">
        <v>0.26800000000000002</v>
      </c>
      <c r="AQ512">
        <v>7.8E-2</v>
      </c>
      <c r="AR512">
        <v>0.18099999999999999</v>
      </c>
      <c r="AS512">
        <v>0.315</v>
      </c>
      <c r="AT512">
        <v>0.60899999999999999</v>
      </c>
      <c r="AU512">
        <v>0.84099999999999997</v>
      </c>
      <c r="AV512">
        <v>0.91200000000000003</v>
      </c>
      <c r="AW512">
        <v>0.97299999999999998</v>
      </c>
      <c r="AX512">
        <v>0.96599999999999997</v>
      </c>
      <c r="AY512">
        <v>0.96</v>
      </c>
      <c r="BD5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193.20524982296016</v>
      </c>
      <c r="BE5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333.15157447478168</v>
      </c>
      <c r="BF5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562.05163584861134</v>
      </c>
      <c r="BG5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798.88387756707834</v>
      </c>
      <c r="BH5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983.59036273506968</v>
      </c>
      <c r="BI5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1019.8517585962704</v>
      </c>
      <c r="BJ5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1036.2827035958771</v>
      </c>
      <c r="BK5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895.76979463372413</v>
      </c>
      <c r="BL5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628.90858446770005</v>
      </c>
      <c r="BM5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403.97461326618929</v>
      </c>
      <c r="BN5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186.97282240931628</v>
      </c>
      <c r="BO5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158.07702258242193</v>
      </c>
      <c r="BP512">
        <f>SUM(Таб[[#This Row],[1]:[12]])</f>
        <v>7200.7199999999993</v>
      </c>
    </row>
    <row r="513" spans="2:68" ht="51">
      <c r="B513" t="s">
        <v>384</v>
      </c>
      <c r="C513" t="str">
        <f>IFERROR(VLOOKUP(Таб[[#This Row],[Зелений Тариф ЕЦ]],Sheet6!$H$9:$I$29,2,FALSE),"")</f>
        <v>Земля</v>
      </c>
      <c r="D513" t="s">
        <v>3370</v>
      </c>
      <c r="F513" t="s">
        <v>3287</v>
      </c>
      <c r="G513" s="1" t="s">
        <v>1330</v>
      </c>
      <c r="H513" t="s">
        <v>69</v>
      </c>
      <c r="J513" s="7">
        <v>6.5259999999999998</v>
      </c>
      <c r="K513" s="8"/>
      <c r="L513" s="8">
        <v>43476</v>
      </c>
      <c r="M513">
        <v>1</v>
      </c>
      <c r="N513" s="49" t="s">
        <v>67</v>
      </c>
      <c r="O513">
        <v>2019</v>
      </c>
      <c r="P513">
        <v>0.15029999999999999</v>
      </c>
      <c r="Q513" s="10"/>
      <c r="R513" s="11">
        <f>ROUND(Таб[[#This Row],[Зелений Тариф ЕЦ]]+Таб[[#This Row],[Зелений Тариф ЕЦ]]*Таб[[#This Row],[% надбавки]],4)</f>
        <v>0.15029999999999999</v>
      </c>
      <c r="S513" s="12"/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0.12431058020477813</v>
      </c>
      <c r="AG513">
        <v>0.16386394663357118</v>
      </c>
      <c r="AH513">
        <v>0.83313201985727559</v>
      </c>
      <c r="AI513">
        <v>1.6913772882407692</v>
      </c>
      <c r="AJ513">
        <v>1.822594011790257</v>
      </c>
      <c r="AK513">
        <v>1.8508464163822522</v>
      </c>
      <c r="AL513">
        <v>1.607875736891095</v>
      </c>
      <c r="AM513">
        <v>4.8</v>
      </c>
      <c r="AN513">
        <v>3.1360000000000001</v>
      </c>
      <c r="AO513">
        <v>3.9009999999999998</v>
      </c>
      <c r="AP513">
        <v>1.802</v>
      </c>
      <c r="AQ513">
        <v>0.53</v>
      </c>
      <c r="AR513">
        <v>1.234</v>
      </c>
      <c r="AS513">
        <v>3.3919999999999999</v>
      </c>
      <c r="AT513">
        <v>6.2009999999999996</v>
      </c>
      <c r="AU513">
        <v>8.3249999999999993</v>
      </c>
      <c r="AV513">
        <v>8.6419999999999995</v>
      </c>
      <c r="AW513">
        <v>9.2230000000000008</v>
      </c>
      <c r="AX513">
        <v>9.1959999999999997</v>
      </c>
      <c r="AY513">
        <v>9.0510000000000002</v>
      </c>
      <c r="BD5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210.14291005743965</v>
      </c>
      <c r="BE5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362.35786250373752</v>
      </c>
      <c r="BF5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611.32482925800616</v>
      </c>
      <c r="BG5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868.91936416712542</v>
      </c>
      <c r="BH5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1069.8184512015107</v>
      </c>
      <c r="BI5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1109.2587627665434</v>
      </c>
      <c r="BJ5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1127.1301539444489</v>
      </c>
      <c r="BK5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974.2989466299473</v>
      </c>
      <c r="BL5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684.04290370603508</v>
      </c>
      <c r="BM5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439.38972102919183</v>
      </c>
      <c r="BN5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203.36410650719964</v>
      </c>
      <c r="BO5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171.93510822881422</v>
      </c>
      <c r="BP513">
        <f>SUM(Таб[[#This Row],[1]:[12]])</f>
        <v>7831.983119999999</v>
      </c>
    </row>
    <row r="514" spans="2:68" ht="51">
      <c r="B514" t="s">
        <v>384</v>
      </c>
      <c r="C514" t="str">
        <f>IFERROR(VLOOKUP(Таб[[#This Row],[Зелений Тариф ЕЦ]],Sheet6!$H$9:$I$29,2,FALSE),"")</f>
        <v>Земля</v>
      </c>
      <c r="D514" t="s">
        <v>3370</v>
      </c>
      <c r="F514" t="s">
        <v>3287</v>
      </c>
      <c r="G514" s="1" t="s">
        <v>1330</v>
      </c>
      <c r="H514" t="s">
        <v>69</v>
      </c>
      <c r="J514" s="7">
        <v>5.4480000000000004</v>
      </c>
      <c r="K514" s="8"/>
      <c r="L514" s="8">
        <v>43096</v>
      </c>
      <c r="M514">
        <v>12</v>
      </c>
      <c r="N514" s="49" t="s">
        <v>71</v>
      </c>
      <c r="O514">
        <v>2017</v>
      </c>
      <c r="P514">
        <v>0.15029999999999999</v>
      </c>
      <c r="Q514" s="10"/>
      <c r="R514" s="11">
        <f>ROUND(Таб[[#This Row],[Зелений Тариф ЕЦ]]+Таб[[#This Row],[Зелений Тариф ЕЦ]]*Таб[[#This Row],[% надбавки]],4)</f>
        <v>0.15029999999999999</v>
      </c>
      <c r="S514" s="12"/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BD5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175.43036683924782</v>
      </c>
      <c r="BE5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302.50162962310179</v>
      </c>
      <c r="BF5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510.34288535053901</v>
      </c>
      <c r="BG5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725.38656083090723</v>
      </c>
      <c r="BH5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893.1000493634433</v>
      </c>
      <c r="BI5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926.02539680541361</v>
      </c>
      <c r="BJ5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940.94469486505636</v>
      </c>
      <c r="BK5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813.35897352742165</v>
      </c>
      <c r="BL5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571.0489946966718</v>
      </c>
      <c r="BM5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366.80894884569989</v>
      </c>
      <c r="BN5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169.77132274765916</v>
      </c>
      <c r="BO5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143.53393650483912</v>
      </c>
      <c r="BP514">
        <f>SUM(Таб[[#This Row],[1]:[12]])</f>
        <v>6538.2537600000005</v>
      </c>
    </row>
    <row r="515" spans="2:68" ht="51">
      <c r="B515" t="s">
        <v>384</v>
      </c>
      <c r="C515" t="str">
        <f>IFERROR(VLOOKUP(Таб[[#This Row],[Зелений Тариф ЕЦ]],Sheet6!$H$9:$I$29,2,FALSE),"")</f>
        <v>Земля</v>
      </c>
      <c r="D515" t="s">
        <v>3370</v>
      </c>
      <c r="F515" t="s">
        <v>3287</v>
      </c>
      <c r="G515" s="1" t="s">
        <v>1330</v>
      </c>
      <c r="H515" t="s">
        <v>69</v>
      </c>
      <c r="J515" s="7">
        <v>5.4480000000000004</v>
      </c>
      <c r="K515" s="8"/>
      <c r="L515" s="8">
        <v>43111</v>
      </c>
      <c r="M515">
        <v>1</v>
      </c>
      <c r="N515" s="49" t="s">
        <v>67</v>
      </c>
      <c r="O515">
        <v>2018</v>
      </c>
      <c r="P515">
        <v>0.15029999999999999</v>
      </c>
      <c r="Q515" s="10"/>
      <c r="R515" s="11">
        <f>ROUND(Таб[[#This Row],[Зелений Тариф ЕЦ]]+Таб[[#This Row],[Зелений Тариф ЕЦ]]*Таб[[#This Row],[% надбавки]],4)</f>
        <v>0.15029999999999999</v>
      </c>
      <c r="S515" s="12"/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BD5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175.43036683924782</v>
      </c>
      <c r="BE5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302.50162962310179</v>
      </c>
      <c r="BF5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510.34288535053901</v>
      </c>
      <c r="BG5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725.38656083090723</v>
      </c>
      <c r="BH5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893.1000493634433</v>
      </c>
      <c r="BI5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926.02539680541361</v>
      </c>
      <c r="BJ5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940.94469486505636</v>
      </c>
      <c r="BK5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813.35897352742165</v>
      </c>
      <c r="BL5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571.0489946966718</v>
      </c>
      <c r="BM5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366.80894884569989</v>
      </c>
      <c r="BN5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169.77132274765916</v>
      </c>
      <c r="BO5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143.53393650483912</v>
      </c>
      <c r="BP515">
        <f>SUM(Таб[[#This Row],[1]:[12]])</f>
        <v>6538.2537600000005</v>
      </c>
    </row>
    <row r="516" spans="2:68" ht="51">
      <c r="B516" t="s">
        <v>384</v>
      </c>
      <c r="C516" t="str">
        <f>IFERROR(VLOOKUP(Таб[[#This Row],[Зелений Тариф ЕЦ]],Sheet6!$H$9:$I$29,2,FALSE),"")</f>
        <v>Земля</v>
      </c>
      <c r="D516" t="s">
        <v>3370</v>
      </c>
      <c r="F516" t="s">
        <v>3287</v>
      </c>
      <c r="G516" s="1" t="s">
        <v>1330</v>
      </c>
      <c r="H516" t="s">
        <v>69</v>
      </c>
      <c r="J516" s="7">
        <v>5.1559999999999997</v>
      </c>
      <c r="K516" s="8"/>
      <c r="L516" s="8">
        <v>43300</v>
      </c>
      <c r="M516">
        <v>7</v>
      </c>
      <c r="N516" s="49" t="s">
        <v>60</v>
      </c>
      <c r="O516">
        <v>2018</v>
      </c>
      <c r="P516">
        <v>0.15029999999999999</v>
      </c>
      <c r="Q516" s="10"/>
      <c r="R516" s="11">
        <f>ROUND(Таб[[#This Row],[Зелений Тариф ЕЦ]]+Таб[[#This Row],[Зелений Тариф ЕЦ]]*Таб[[#This Row],[% надбавки]],4)</f>
        <v>0.15029999999999999</v>
      </c>
      <c r="S516" s="12"/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BD5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166.02771134786374</v>
      </c>
      <c r="BE5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286.28825299866236</v>
      </c>
      <c r="BF5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482.98970573923987</v>
      </c>
      <c r="BG5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686.50754545597601</v>
      </c>
      <c r="BH5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845.23198504366985</v>
      </c>
      <c r="BI5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876.39261122039511</v>
      </c>
      <c r="BJ5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890.51226995672346</v>
      </c>
      <c r="BK5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769.76484352191346</v>
      </c>
      <c r="BL5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540.44211025257698</v>
      </c>
      <c r="BM5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347.14885100007859</v>
      </c>
      <c r="BN5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160.6719787237391</v>
      </c>
      <c r="BO5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135.84085473916122</v>
      </c>
      <c r="BP516">
        <f>SUM(Таб[[#This Row],[1]:[12]])</f>
        <v>6187.8187199999984</v>
      </c>
    </row>
    <row r="517" spans="2:68" ht="51">
      <c r="B517" t="s">
        <v>384</v>
      </c>
      <c r="C517" t="str">
        <f>IFERROR(VLOOKUP(Таб[[#This Row],[Зелений Тариф ЕЦ]],Sheet6!$H$9:$I$29,2,FALSE),"")</f>
        <v>Земля</v>
      </c>
      <c r="D517" t="s">
        <v>3370</v>
      </c>
      <c r="F517" t="s">
        <v>3287</v>
      </c>
      <c r="G517" s="1" t="s">
        <v>1330</v>
      </c>
      <c r="H517" t="s">
        <v>69</v>
      </c>
      <c r="J517" s="7">
        <v>7.101</v>
      </c>
      <c r="K517" s="8"/>
      <c r="L517" s="8">
        <v>43300</v>
      </c>
      <c r="M517">
        <v>7</v>
      </c>
      <c r="N517" s="49" t="s">
        <v>60</v>
      </c>
      <c r="O517">
        <v>2018</v>
      </c>
      <c r="P517">
        <v>0.15029999999999999</v>
      </c>
      <c r="Q517" s="10"/>
      <c r="R517" s="11">
        <f>ROUND(Таб[[#This Row],[Зелений Тариф ЕЦ]]+Таб[[#This Row],[Зелений Тариф ЕЦ]]*Таб[[#This Row],[% надбавки]],4)</f>
        <v>0.15029999999999999</v>
      </c>
      <c r="S517" s="12"/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BD5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228.65841316547335</v>
      </c>
      <c r="BE5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394.28488839090409</v>
      </c>
      <c r="BF5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665.18811102683139</v>
      </c>
      <c r="BG5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945.47906910063739</v>
      </c>
      <c r="BH5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1164.0791942969549</v>
      </c>
      <c r="BI5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1206.9945562986859</v>
      </c>
      <c r="BJ5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1226.4405797057202</v>
      </c>
      <c r="BK5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1060.1435519490126</v>
      </c>
      <c r="BL5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744.31330971752311</v>
      </c>
      <c r="BM5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478.10395480053501</v>
      </c>
      <c r="BN5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221.28233532142579</v>
      </c>
      <c r="BO5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187.08415622629633</v>
      </c>
      <c r="BP517">
        <f>SUM(Таб[[#This Row],[1]:[12]])</f>
        <v>8522.0521200000003</v>
      </c>
    </row>
    <row r="518" spans="2:68" ht="51">
      <c r="B518" t="s">
        <v>384</v>
      </c>
      <c r="C518" t="str">
        <f>IFERROR(VLOOKUP(Таб[[#This Row],[Зелений Тариф ЕЦ]],Sheet6!$H$9:$I$29,2,FALSE),"")</f>
        <v>Земля</v>
      </c>
      <c r="D518" t="s">
        <v>3370</v>
      </c>
      <c r="F518" t="s">
        <v>3287</v>
      </c>
      <c r="G518" s="1" t="s">
        <v>1330</v>
      </c>
      <c r="H518" t="s">
        <v>69</v>
      </c>
      <c r="J518" s="7">
        <v>4.5410000000000004</v>
      </c>
      <c r="K518" s="8"/>
      <c r="L518" s="8">
        <v>43300</v>
      </c>
      <c r="M518">
        <v>7</v>
      </c>
      <c r="N518" s="49" t="s">
        <v>60</v>
      </c>
      <c r="O518">
        <v>2018</v>
      </c>
      <c r="P518">
        <v>0.15029999999999999</v>
      </c>
      <c r="Q518" s="10"/>
      <c r="R518" s="11">
        <f>ROUND(Таб[[#This Row],[Зелений Тариф ЕЦ]]+Таб[[#This Row],[Зелений Тариф ЕЦ]]*Таб[[#This Row],[% надбавки]],4)</f>
        <v>0.15029999999999999</v>
      </c>
      <c r="S518" s="12"/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BD5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146.22417324101033</v>
      </c>
      <c r="BE5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252.14021661499726</v>
      </c>
      <c r="BF5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425.37941306475733</v>
      </c>
      <c r="BG5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604.62194800535053</v>
      </c>
      <c r="BH5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744.41397286332517</v>
      </c>
      <c r="BI5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771.8578059642773</v>
      </c>
      <c r="BJ5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784.29329283814627</v>
      </c>
      <c r="BK5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677.9484395719569</v>
      </c>
      <c r="BL5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475.97898034463776</v>
      </c>
      <c r="BM5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305.74145314029431</v>
      </c>
      <c r="BN5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141.50726442678419</v>
      </c>
      <c r="BO5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119.637959924463</v>
      </c>
      <c r="BP518">
        <f>SUM(Таб[[#This Row],[1]:[12]])</f>
        <v>5449.7449199999992</v>
      </c>
    </row>
    <row r="519" spans="2:68" ht="51">
      <c r="B519" t="s">
        <v>384</v>
      </c>
      <c r="C519" t="str">
        <f>IFERROR(VLOOKUP(Таб[[#This Row],[Зелений Тариф ЕЦ]],Sheet6!$H$9:$I$29,2,FALSE),"")</f>
        <v>Земля</v>
      </c>
      <c r="D519" t="s">
        <v>3370</v>
      </c>
      <c r="F519" t="s">
        <v>3287</v>
      </c>
      <c r="G519" s="1" t="s">
        <v>1330</v>
      </c>
      <c r="H519" t="s">
        <v>69</v>
      </c>
      <c r="J519" s="7">
        <v>7.54</v>
      </c>
      <c r="K519" s="8"/>
      <c r="L519" s="8">
        <v>43382</v>
      </c>
      <c r="M519">
        <v>10</v>
      </c>
      <c r="N519" s="49" t="s">
        <v>71</v>
      </c>
      <c r="O519">
        <v>2018</v>
      </c>
      <c r="P519">
        <v>0.15029999999999999</v>
      </c>
      <c r="Q519" s="10"/>
      <c r="R519" s="11">
        <f>ROUND(Таб[[#This Row],[Зелений Тариф ЕЦ]]+Таб[[#This Row],[Зелений Тариф ЕЦ]]*Таб[[#This Row],[% надбавки]],4)</f>
        <v>0.15029999999999999</v>
      </c>
      <c r="S519" s="12"/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BD5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242.79459727751987</v>
      </c>
      <c r="BE5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418.66047858997558</v>
      </c>
      <c r="BF5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706.31155571642137</v>
      </c>
      <c r="BG5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1003.9307394759619</v>
      </c>
      <c r="BH5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1236.0452225037375</v>
      </c>
      <c r="BI5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1281.613709969313</v>
      </c>
      <c r="BJ5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1302.2619308521521</v>
      </c>
      <c r="BK5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1125.6840419230468</v>
      </c>
      <c r="BL5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790.32845448107639</v>
      </c>
      <c r="BM5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507.66143067117787</v>
      </c>
      <c r="BN5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234.96251349437409</v>
      </c>
      <c r="BO5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198.65012504524356</v>
      </c>
      <c r="BP519">
        <f>SUM(Таб[[#This Row],[1]:[12]])</f>
        <v>9048.9048000000003</v>
      </c>
    </row>
    <row r="520" spans="2:68" ht="51">
      <c r="B520" t="s">
        <v>384</v>
      </c>
      <c r="C520" t="str">
        <f>IFERROR(VLOOKUP(Таб[[#This Row],[Зелений Тариф ЕЦ]],Sheet6!$H$9:$I$29,2,FALSE),"")</f>
        <v>Земля</v>
      </c>
      <c r="D520" t="s">
        <v>3370</v>
      </c>
      <c r="F520" t="s">
        <v>3287</v>
      </c>
      <c r="G520" s="1" t="s">
        <v>1330</v>
      </c>
      <c r="H520" t="s">
        <v>69</v>
      </c>
      <c r="J520" s="7">
        <v>6.47</v>
      </c>
      <c r="K520" s="8"/>
      <c r="L520" s="8">
        <v>43476</v>
      </c>
      <c r="M520">
        <v>1</v>
      </c>
      <c r="N520" s="49" t="s">
        <v>67</v>
      </c>
      <c r="O520">
        <v>2019</v>
      </c>
      <c r="P520">
        <v>0.15029999999999999</v>
      </c>
      <c r="Q520" s="10"/>
      <c r="R520" s="11">
        <f>ROUND(Таб[[#This Row],[Зелений Тариф ЕЦ]]+Таб[[#This Row],[Зелений Тариф ЕЦ]]*Таб[[#This Row],[% надбавки]],4)</f>
        <v>0.15029999999999999</v>
      </c>
      <c r="S520" s="12"/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BD5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208.33966105909201</v>
      </c>
      <c r="BE5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359.24844780863953</v>
      </c>
      <c r="BF5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606.07901399008574</v>
      </c>
      <c r="BG5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861.46311464316614</v>
      </c>
      <c r="BH5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1060.6382744826501</v>
      </c>
      <c r="BI5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1099.7401463529782</v>
      </c>
      <c r="BJ5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1117.4581820442208</v>
      </c>
      <c r="BK5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965.93842854669924</v>
      </c>
      <c r="BL5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678.17309025100326</v>
      </c>
      <c r="BM5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435.61929130537408</v>
      </c>
      <c r="BN5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201.61902683137936</v>
      </c>
      <c r="BO5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170.45972268471164</v>
      </c>
      <c r="BP520">
        <f>SUM(Таб[[#This Row],[1]:[12]])</f>
        <v>7764.7764000000006</v>
      </c>
    </row>
    <row r="521" spans="2:68" ht="51">
      <c r="B521" t="s">
        <v>384</v>
      </c>
      <c r="C521" t="str">
        <f>IFERROR(VLOOKUP(Таб[[#This Row],[Зелений Тариф ЕЦ]],Sheet6!$H$9:$I$29,2,FALSE),"")</f>
        <v>Земля</v>
      </c>
      <c r="D521" t="s">
        <v>3370</v>
      </c>
      <c r="F521" t="s">
        <v>3287</v>
      </c>
      <c r="G521" s="1" t="s">
        <v>1330</v>
      </c>
      <c r="H521" t="s">
        <v>69</v>
      </c>
      <c r="J521" s="7">
        <v>6.4290000000000003</v>
      </c>
      <c r="K521" s="8"/>
      <c r="L521" s="8">
        <v>43476</v>
      </c>
      <c r="M521">
        <v>1</v>
      </c>
      <c r="N521" s="49" t="s">
        <v>67</v>
      </c>
      <c r="O521">
        <v>2019</v>
      </c>
      <c r="P521">
        <v>0.15029999999999999</v>
      </c>
      <c r="Q521" s="10"/>
      <c r="R521" s="11">
        <f>ROUND(Таб[[#This Row],[Зелений Тариф ЕЦ]]+Таб[[#This Row],[Зелений Тариф ЕЦ]]*Таб[[#This Row],[% надбавки]],4)</f>
        <v>0.15029999999999999</v>
      </c>
      <c r="S521" s="12"/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BD5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207.01942518530177</v>
      </c>
      <c r="BE5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356.97191204972859</v>
      </c>
      <c r="BF5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602.23832781178692</v>
      </c>
      <c r="BG5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856.00407481312448</v>
      </c>
      <c r="BH5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1053.9170736706271</v>
      </c>
      <c r="BI5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1092.7711593359038</v>
      </c>
      <c r="BJ5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1110.3769169029822</v>
      </c>
      <c r="BK5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959.81733495003539</v>
      </c>
      <c r="BL5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673.87554825714074</v>
      </c>
      <c r="BM5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432.85879811472188</v>
      </c>
      <c r="BN5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200.34137921158236</v>
      </c>
      <c r="BO5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169.3795296970651</v>
      </c>
      <c r="BP521">
        <f>SUM(Таб[[#This Row],[1]:[12]])</f>
        <v>7715.5714800000005</v>
      </c>
    </row>
    <row r="522" spans="2:68" ht="38.25">
      <c r="B522" t="s">
        <v>384</v>
      </c>
      <c r="C522" t="str">
        <f>IFERROR(VLOOKUP(Таб[[#This Row],[Зелений Тариф ЕЦ]],Sheet6!$H$9:$I$29,2,FALSE),"")</f>
        <v>Земля</v>
      </c>
      <c r="D522" t="s">
        <v>3356</v>
      </c>
      <c r="F522" t="s">
        <v>3287</v>
      </c>
      <c r="G522" s="1" t="s">
        <v>1348</v>
      </c>
      <c r="H522" t="s">
        <v>73</v>
      </c>
      <c r="J522" s="7">
        <v>9.99</v>
      </c>
      <c r="K522" s="8"/>
      <c r="L522" s="8">
        <v>42943</v>
      </c>
      <c r="M522">
        <v>7</v>
      </c>
      <c r="N522" s="49" t="s">
        <v>60</v>
      </c>
      <c r="O522">
        <v>2017</v>
      </c>
      <c r="P522">
        <v>0.15029999999999999</v>
      </c>
      <c r="Q522" s="10"/>
      <c r="R522" s="11">
        <f>ROUND(Таб[[#This Row],[Зелений Тариф ЕЦ]]+Таб[[#This Row],[Зелений Тариф ЕЦ]]*Таб[[#This Row],[% надбавки]],4)</f>
        <v>0.15029999999999999</v>
      </c>
      <c r="S522" s="12"/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1.17</v>
      </c>
      <c r="AB522">
        <v>1.2549999999999999</v>
      </c>
      <c r="AC522">
        <v>0.62600000000000033</v>
      </c>
      <c r="AD522">
        <v>0.371</v>
      </c>
      <c r="AE522">
        <v>0.28399999999999981</v>
      </c>
      <c r="AF522">
        <v>0.36299999999999999</v>
      </c>
      <c r="AG522">
        <v>0.42699999999999999</v>
      </c>
      <c r="AH522">
        <v>0.86499999999999999</v>
      </c>
      <c r="AI522">
        <v>1.575</v>
      </c>
      <c r="AJ522">
        <v>1.718</v>
      </c>
      <c r="AK522">
        <v>1.6060000000000001</v>
      </c>
      <c r="AL522">
        <v>1.57</v>
      </c>
      <c r="AM522">
        <v>1.7370000000000001</v>
      </c>
      <c r="AN522">
        <v>1.089</v>
      </c>
      <c r="AO522">
        <v>1.244</v>
      </c>
      <c r="AP522">
        <v>0.28100000000000003</v>
      </c>
      <c r="AQ522">
        <v>0.21199999999999999</v>
      </c>
      <c r="AR522">
        <v>0.29099999999999998</v>
      </c>
      <c r="AS522">
        <v>0.47899999999999998</v>
      </c>
      <c r="AT522">
        <v>1.2150000000000001</v>
      </c>
      <c r="AU522">
        <v>1.5369999999999999</v>
      </c>
      <c r="AV522">
        <v>1.5229999999999999</v>
      </c>
      <c r="AW522">
        <v>1.6160000000000001</v>
      </c>
      <c r="AX522">
        <v>1.704</v>
      </c>
      <c r="AY522">
        <v>1.5249999999999999</v>
      </c>
      <c r="BD5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321.68674095522863</v>
      </c>
      <c r="BE5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554.69737150051151</v>
      </c>
      <c r="BF5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935.81597368793757</v>
      </c>
      <c r="BG5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1330.1416561491858</v>
      </c>
      <c r="BH5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1637.6779539538911</v>
      </c>
      <c r="BI5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1698.05317806279</v>
      </c>
      <c r="BJ5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1725.4107014871349</v>
      </c>
      <c r="BK5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1491.4567080651509</v>
      </c>
      <c r="BL5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1047.1327931387204</v>
      </c>
      <c r="BM5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672.61773108820523</v>
      </c>
      <c r="BN5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311.30974931151155</v>
      </c>
      <c r="BO5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263.19824259973251</v>
      </c>
      <c r="BP522">
        <f>SUM(Таб[[#This Row],[1]:[12]])</f>
        <v>11989.198799999998</v>
      </c>
    </row>
    <row r="523" spans="2:68" ht="25.5">
      <c r="B523" t="s">
        <v>384</v>
      </c>
      <c r="C523" t="str">
        <f>IFERROR(VLOOKUP(Таб[[#This Row],[Зелений Тариф ЕЦ]],Sheet6!$H$9:$I$29,2,FALSE),"")</f>
        <v>Земля</v>
      </c>
      <c r="G523" s="1" t="s">
        <v>1350</v>
      </c>
      <c r="H523" t="s">
        <v>65</v>
      </c>
      <c r="J523" s="7">
        <v>0.499</v>
      </c>
      <c r="K523" s="8"/>
      <c r="L523" s="8">
        <v>43277</v>
      </c>
      <c r="M523">
        <v>6</v>
      </c>
      <c r="N523" s="49" t="s">
        <v>57</v>
      </c>
      <c r="O523">
        <v>2018</v>
      </c>
      <c r="P523">
        <v>0.15029999999999999</v>
      </c>
      <c r="Q523" s="10"/>
      <c r="R523" s="11">
        <f>ROUND(Таб[[#This Row],[Зелений Тариф ЕЦ]]+Таб[[#This Row],[Зелений Тариф ЕЦ]]*Таб[[#This Row],[% надбавки]],4)</f>
        <v>0.15029999999999999</v>
      </c>
      <c r="S523" s="12"/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0.14699999999999999</v>
      </c>
      <c r="AK523">
        <v>5.8999999999999997E-2</v>
      </c>
      <c r="AL523">
        <v>6.7000000000000004E-2</v>
      </c>
      <c r="AM523">
        <v>7.2999999999999995E-2</v>
      </c>
      <c r="AN523">
        <v>5.8000000000000003E-2</v>
      </c>
      <c r="AO523">
        <v>4.3999999999999997E-2</v>
      </c>
      <c r="AP523">
        <v>8.0000000000000002E-3</v>
      </c>
      <c r="AQ523">
        <v>4.0000000000000001E-3</v>
      </c>
      <c r="AR523">
        <v>5.0000000000000001E-3</v>
      </c>
      <c r="AS523">
        <v>0.03</v>
      </c>
      <c r="AT523">
        <v>5.1999999999999998E-2</v>
      </c>
      <c r="AU523">
        <v>5.8000000000000003E-2</v>
      </c>
      <c r="AV523">
        <v>5.5E-2</v>
      </c>
      <c r="AW523">
        <v>7.4999999999999997E-2</v>
      </c>
      <c r="AX523">
        <v>7.5999999999999998E-2</v>
      </c>
      <c r="AY523">
        <v>7.0000000000000007E-2</v>
      </c>
      <c r="BD5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16.068236610276184</v>
      </c>
      <c r="BE5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27.707105943819343</v>
      </c>
      <c r="BF5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46.743961048076166</v>
      </c>
      <c r="BG5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66.440509150995354</v>
      </c>
      <c r="BH5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81.801931834133285</v>
      </c>
      <c r="BI5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84.817671256589819</v>
      </c>
      <c r="BJ5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86.184178182390426</v>
      </c>
      <c r="BK5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74.498187920371393</v>
      </c>
      <c r="BL5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52.304230608230398</v>
      </c>
      <c r="BM5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33.597222003304744</v>
      </c>
      <c r="BN5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15.54990639704147</v>
      </c>
      <c r="BO5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13.146739044771422</v>
      </c>
      <c r="BP523">
        <f>SUM(Таб[[#This Row],[1]:[12]])</f>
        <v>598.85987999999998</v>
      </c>
    </row>
    <row r="524" spans="2:68" ht="25.5">
      <c r="B524" t="s">
        <v>384</v>
      </c>
      <c r="C524" t="str">
        <f>IFERROR(VLOOKUP(Таб[[#This Row],[Зелений Тариф ЕЦ]],Sheet6!$H$9:$I$29,2,FALSE),"")</f>
        <v>Земля</v>
      </c>
      <c r="G524" s="1" t="s">
        <v>1350</v>
      </c>
      <c r="H524" t="s">
        <v>65</v>
      </c>
      <c r="J524" s="7">
        <v>2.4830000000000001</v>
      </c>
      <c r="K524" s="8"/>
      <c r="L524" s="8">
        <v>43476</v>
      </c>
      <c r="M524">
        <v>1</v>
      </c>
      <c r="N524" s="49" t="s">
        <v>67</v>
      </c>
      <c r="O524">
        <v>2019</v>
      </c>
      <c r="P524">
        <v>0.15029999999999999</v>
      </c>
      <c r="Q524" s="10"/>
      <c r="R524" s="11">
        <f>ROUND(Таб[[#This Row],[Зелений Тариф ЕЦ]]+Таб[[#This Row],[Зелений Тариф ЕЦ]]*Таб[[#This Row],[% надбавки]],4)</f>
        <v>0.15029999999999999</v>
      </c>
      <c r="S524" s="12"/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6.0000000000000001E-3</v>
      </c>
      <c r="AS524">
        <v>8.2000000000000003E-2</v>
      </c>
      <c r="AT524">
        <v>0.186</v>
      </c>
      <c r="AU524">
        <v>0.27</v>
      </c>
      <c r="AV524">
        <v>0.28999999999999998</v>
      </c>
      <c r="AW524">
        <v>0.39300000000000002</v>
      </c>
      <c r="AX524">
        <v>0.39300000000000002</v>
      </c>
      <c r="AY524">
        <v>0.35399999999999998</v>
      </c>
      <c r="BD5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79.954772551735005</v>
      </c>
      <c r="BE5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137.86922657014716</v>
      </c>
      <c r="BF5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232.59570196868361</v>
      </c>
      <c r="BG5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330.60477799984267</v>
      </c>
      <c r="BH5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407.04247844519637</v>
      </c>
      <c r="BI5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422.04865276575657</v>
      </c>
      <c r="BJ5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428.8483255047604</v>
      </c>
      <c r="BK5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370.69940001258954</v>
      </c>
      <c r="BL5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260.26333587221654</v>
      </c>
      <c r="BM5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167.17816078999135</v>
      </c>
      <c r="BN5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77.375586340388708</v>
      </c>
      <c r="BO5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65.417541178692275</v>
      </c>
      <c r="BP524">
        <f>SUM(Таб[[#This Row],[1]:[12]])</f>
        <v>2979.8979599999998</v>
      </c>
    </row>
    <row r="525" spans="2:68" ht="25.5">
      <c r="B525" t="s">
        <v>384</v>
      </c>
      <c r="C525" t="str">
        <f>IFERROR(VLOOKUP(Таб[[#This Row],[Зелений Тариф ЕЦ]],Sheet6!$H$9:$I$29,2,FALSE),"")</f>
        <v>Земля</v>
      </c>
      <c r="D525" t="s">
        <v>3410</v>
      </c>
      <c r="F525" t="s">
        <v>3287</v>
      </c>
      <c r="G525" s="1" t="s">
        <v>1353</v>
      </c>
      <c r="H525" t="s">
        <v>233</v>
      </c>
      <c r="J525" s="7">
        <v>12.65</v>
      </c>
      <c r="K525" s="8"/>
      <c r="L525" s="8">
        <v>43508</v>
      </c>
      <c r="M525">
        <v>2</v>
      </c>
      <c r="N525" s="49" t="s">
        <v>67</v>
      </c>
      <c r="O525">
        <v>2019</v>
      </c>
      <c r="P525">
        <v>0.15029999999999999</v>
      </c>
      <c r="Q525" s="10"/>
      <c r="R525" s="11">
        <f>ROUND(Таб[[#This Row],[Зелений Тариф ЕЦ]]+Таб[[#This Row],[Зелений Тариф ЕЦ]]*Таб[[#This Row],[% надбавки]],4)</f>
        <v>0.15029999999999999</v>
      </c>
      <c r="S525" s="12"/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0.42199999999999999</v>
      </c>
      <c r="AV525">
        <v>0.31900000000000001</v>
      </c>
      <c r="AW525">
        <v>0.68200000000000005</v>
      </c>
      <c r="AX525">
        <v>2.0310000000000001</v>
      </c>
      <c r="AY525">
        <v>1.9650000000000001</v>
      </c>
      <c r="BD5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407.34106837674102</v>
      </c>
      <c r="BE5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702.39456951766476</v>
      </c>
      <c r="BF5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1184.9921989141553</v>
      </c>
      <c r="BG5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1684.3135085372569</v>
      </c>
      <c r="BH5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2073.7363480997719</v>
      </c>
      <c r="BI5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2150.1874577071367</v>
      </c>
      <c r="BJ5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2184.8293667479743</v>
      </c>
      <c r="BK5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1888.5813170194351</v>
      </c>
      <c r="BL5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1325.9489322527343</v>
      </c>
      <c r="BM5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851.71314296954915</v>
      </c>
      <c r="BN5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394.20103391297516</v>
      </c>
      <c r="BO5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333.27905594460623</v>
      </c>
      <c r="BP525">
        <f>SUM(Таб[[#This Row],[1]:[12]])</f>
        <v>15181.517999999998</v>
      </c>
    </row>
    <row r="526" spans="2:68" ht="25.5">
      <c r="B526" t="s">
        <v>384</v>
      </c>
      <c r="C526" t="str">
        <f>IFERROR(VLOOKUP(Таб[[#This Row],[Зелений Тариф ЕЦ]],Sheet6!$H$9:$I$29,2,FALSE),"")</f>
        <v>Земля</v>
      </c>
      <c r="G526" s="1" t="s">
        <v>1355</v>
      </c>
      <c r="H526" t="s">
        <v>62</v>
      </c>
      <c r="J526" s="7">
        <v>4.4800000000000004</v>
      </c>
      <c r="K526" s="8"/>
      <c r="L526" s="8">
        <v>43111</v>
      </c>
      <c r="M526">
        <v>1</v>
      </c>
      <c r="N526" s="49" t="s">
        <v>67</v>
      </c>
      <c r="O526">
        <v>2018</v>
      </c>
      <c r="P526">
        <v>0.15029999999999999</v>
      </c>
      <c r="Q526" s="10"/>
      <c r="R526" s="11">
        <f>ROUND(Таб[[#This Row],[Зелений Тариф ЕЦ]]+Таб[[#This Row],[Зелений Тариф ЕЦ]]*Таб[[#This Row],[% надбавки]],4)</f>
        <v>0.15029999999999999</v>
      </c>
      <c r="S526" s="12"/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0.10199999999999999</v>
      </c>
      <c r="AG526">
        <v>0.17</v>
      </c>
      <c r="AH526">
        <v>0.371</v>
      </c>
      <c r="AI526">
        <v>0.65</v>
      </c>
      <c r="AJ526">
        <v>0.70199999999999996</v>
      </c>
      <c r="AK526">
        <v>0.56999999999999995</v>
      </c>
      <c r="AL526">
        <v>0.57199999999999995</v>
      </c>
      <c r="AM526">
        <v>0.65800000000000003</v>
      </c>
      <c r="AN526">
        <v>0.496</v>
      </c>
      <c r="AO526">
        <v>0.39</v>
      </c>
      <c r="AP526">
        <v>0.16200000000000001</v>
      </c>
      <c r="AQ526">
        <v>8.7999999999999995E-2</v>
      </c>
      <c r="AR526">
        <v>7.9000000000000001E-2</v>
      </c>
      <c r="AS526">
        <v>0.34699999999999998</v>
      </c>
      <c r="AT526">
        <v>0.69099999999999995</v>
      </c>
      <c r="AU526">
        <v>0.85099999999999998</v>
      </c>
      <c r="AV526">
        <v>0.82699999999999996</v>
      </c>
      <c r="AW526">
        <v>1.0640000000000001</v>
      </c>
      <c r="AX526">
        <v>1.095</v>
      </c>
      <c r="AY526">
        <v>1.0049999999999999</v>
      </c>
      <c r="BD5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144.25991986781025</v>
      </c>
      <c r="BE5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248.75317560783699</v>
      </c>
      <c r="BF5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419.66522143362971</v>
      </c>
      <c r="BG5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596.499961916752</v>
      </c>
      <c r="BH5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734.41413750885204</v>
      </c>
      <c r="BI5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761.48931308521537</v>
      </c>
      <c r="BJ5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773.75775201825491</v>
      </c>
      <c r="BK5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668.84144665984741</v>
      </c>
      <c r="BL5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469.58507640254953</v>
      </c>
      <c r="BM5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301.63437790542139</v>
      </c>
      <c r="BN5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139.60637406562282</v>
      </c>
      <c r="BO5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118.03084352820838</v>
      </c>
      <c r="BP526">
        <f>SUM(Таб[[#This Row],[1]:[12]])</f>
        <v>5376.5376000000006</v>
      </c>
    </row>
    <row r="527" spans="2:68" ht="25.5">
      <c r="B527" t="s">
        <v>384</v>
      </c>
      <c r="C527" t="str">
        <f>IFERROR(VLOOKUP(Таб[[#This Row],[Зелений Тариф ЕЦ]],Sheet6!$H$9:$I$29,2,FALSE),"")</f>
        <v>Земля</v>
      </c>
      <c r="G527" s="1" t="s">
        <v>1355</v>
      </c>
      <c r="H527" t="s">
        <v>62</v>
      </c>
      <c r="J527" s="7">
        <v>2.5539999999999998</v>
      </c>
      <c r="K527" s="8"/>
      <c r="L527" s="8">
        <v>43371</v>
      </c>
      <c r="M527">
        <v>9</v>
      </c>
      <c r="N527" s="49" t="s">
        <v>60</v>
      </c>
      <c r="O527">
        <v>2018</v>
      </c>
      <c r="P527">
        <v>0.15029999999999999</v>
      </c>
      <c r="Q527" s="10"/>
      <c r="R527" s="11">
        <f>ROUND(Таб[[#This Row],[Зелений Тариф ЕЦ]]+Таб[[#This Row],[Зелений Тариф ЕЦ]]*Таб[[#This Row],[% надбавки]],4)</f>
        <v>0.15029999999999999</v>
      </c>
      <c r="S527" s="12"/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BD5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82.241034674640019</v>
      </c>
      <c r="BE5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141.81152020143205</v>
      </c>
      <c r="BF5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239.24664632622546</v>
      </c>
      <c r="BG5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340.05823721771969</v>
      </c>
      <c r="BH5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418.68163107089458</v>
      </c>
      <c r="BI5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434.1168985758124</v>
      </c>
      <c r="BJ5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441.11100416397824</v>
      </c>
      <c r="BK5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381.2993425824219</v>
      </c>
      <c r="BL5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267.70542078841765</v>
      </c>
      <c r="BM5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171.95852704697455</v>
      </c>
      <c r="BN5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79.58809807223227</v>
      </c>
      <c r="BO5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67.288119279250921</v>
      </c>
      <c r="BP527">
        <f>SUM(Таб[[#This Row],[1]:[12]])</f>
        <v>3065.1064799999999</v>
      </c>
    </row>
    <row r="528" spans="2:68" ht="25.5">
      <c r="B528" t="s">
        <v>384</v>
      </c>
      <c r="C528" t="str">
        <f>IFERROR(VLOOKUP(Таб[[#This Row],[Зелений Тариф ЕЦ]],Sheet6!$H$9:$I$29,2,FALSE),"")</f>
        <v>Земля</v>
      </c>
      <c r="G528" s="1" t="s">
        <v>1360</v>
      </c>
      <c r="H528" t="s">
        <v>65</v>
      </c>
      <c r="J528" s="7">
        <v>4.8280000000000003</v>
      </c>
      <c r="K528" s="8"/>
      <c r="L528" s="8">
        <v>42905</v>
      </c>
      <c r="M528">
        <v>6</v>
      </c>
      <c r="N528" s="49" t="s">
        <v>57</v>
      </c>
      <c r="O528">
        <v>2017</v>
      </c>
      <c r="P528">
        <v>0.15989999999999999</v>
      </c>
      <c r="Q528" s="10"/>
      <c r="R528" s="11">
        <f>ROUND(Таб[[#This Row],[Зелений Тариф ЕЦ]]+Таб[[#This Row],[Зелений Тариф ЕЦ]]*Таб[[#This Row],[% надбавки]],4)</f>
        <v>0.15989999999999999</v>
      </c>
      <c r="S528" s="12"/>
      <c r="T528">
        <v>0</v>
      </c>
      <c r="U528">
        <v>0</v>
      </c>
      <c r="V528">
        <v>0</v>
      </c>
      <c r="W528">
        <v>0</v>
      </c>
      <c r="X528">
        <v>0</v>
      </c>
      <c r="Y528">
        <v>0.77600000000000002</v>
      </c>
      <c r="Z528">
        <v>0.75099999999999989</v>
      </c>
      <c r="AA528">
        <v>0.7170000000000003</v>
      </c>
      <c r="AB528">
        <v>0.50599999999999978</v>
      </c>
      <c r="AC528">
        <v>0.40799999999999992</v>
      </c>
      <c r="AD528">
        <v>0.13100000000000023</v>
      </c>
      <c r="AE528">
        <v>0.11199999999999966</v>
      </c>
      <c r="AF528">
        <v>0.189</v>
      </c>
      <c r="AG528">
        <v>0.14799999999999999</v>
      </c>
      <c r="AH528">
        <v>0.34200000000000003</v>
      </c>
      <c r="AI528">
        <v>0.71699999999999997</v>
      </c>
      <c r="AJ528">
        <v>0.73499999999999999</v>
      </c>
      <c r="AK528">
        <v>0.59099999999999997</v>
      </c>
      <c r="AL528">
        <v>0.63400000000000001</v>
      </c>
      <c r="AM528">
        <v>0.71799999999999997</v>
      </c>
      <c r="AN528">
        <v>0.59399999999999997</v>
      </c>
      <c r="AO528">
        <v>0.48</v>
      </c>
      <c r="AP528">
        <v>0.11899999999999999</v>
      </c>
      <c r="AQ528">
        <v>6.9000000000000006E-2</v>
      </c>
      <c r="AR528">
        <v>0.08</v>
      </c>
      <c r="AS528">
        <v>0.32600000000000001</v>
      </c>
      <c r="AT528">
        <v>0.50700000000000001</v>
      </c>
      <c r="AU528">
        <v>0.56999999999999995</v>
      </c>
      <c r="AV528">
        <v>0.55400000000000005</v>
      </c>
      <c r="AW528">
        <v>0.72399999999999998</v>
      </c>
      <c r="AX528">
        <v>0.751</v>
      </c>
      <c r="AY528">
        <v>0.70599999999999996</v>
      </c>
      <c r="BD5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155.46582435754195</v>
      </c>
      <c r="BE5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268.07596692737434</v>
      </c>
      <c r="BF5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452.26421631284916</v>
      </c>
      <c r="BG5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642.8352268156425</v>
      </c>
      <c r="BH5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791.4623785474862</v>
      </c>
      <c r="BI5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820.6407150837988</v>
      </c>
      <c r="BJ5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833.86214882681577</v>
      </c>
      <c r="BK5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720.79609474860342</v>
      </c>
      <c r="BL5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506.06177430167611</v>
      </c>
      <c r="BM5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325.06490547486032</v>
      </c>
      <c r="BN5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150.45079776536318</v>
      </c>
      <c r="BO5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127.19931083798883</v>
      </c>
      <c r="BP528">
        <f>SUM(Таб[[#This Row],[1]:[12]])</f>
        <v>5794.1793600000001</v>
      </c>
    </row>
    <row r="529" spans="2:68" ht="38.25">
      <c r="B529" t="s">
        <v>384</v>
      </c>
      <c r="C529" t="str">
        <f>IFERROR(VLOOKUP(Таб[[#This Row],[Зелений Тариф ЕЦ]],Sheet6!$H$9:$I$29,2,FALSE),"")</f>
        <v>Земля</v>
      </c>
      <c r="F529" t="s">
        <v>3287</v>
      </c>
      <c r="G529" s="1" t="s">
        <v>1362</v>
      </c>
      <c r="H529" t="s">
        <v>122</v>
      </c>
      <c r="J529" s="7">
        <v>17.431000000000001</v>
      </c>
      <c r="K529" s="8"/>
      <c r="L529" s="8">
        <v>43431</v>
      </c>
      <c r="M529">
        <v>11</v>
      </c>
      <c r="N529" s="49" t="s">
        <v>71</v>
      </c>
      <c r="O529">
        <v>2018</v>
      </c>
      <c r="P529">
        <v>0.15029999999999999</v>
      </c>
      <c r="Q529" s="10"/>
      <c r="R529" s="11">
        <f>ROUND(Таб[[#This Row],[Зелений Тариф ЕЦ]]+Таб[[#This Row],[Зелений Тариф ЕЦ]]*Таб[[#This Row],[% надбавки]],4)</f>
        <v>0.15029999999999999</v>
      </c>
      <c r="S529" s="12"/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6.7000000000000004E-2</v>
      </c>
      <c r="AS529">
        <v>0.746</v>
      </c>
      <c r="AT529">
        <v>1.7689999999999999</v>
      </c>
      <c r="AU529">
        <v>2.3929999999999998</v>
      </c>
      <c r="AV529">
        <v>2.5720000000000001</v>
      </c>
      <c r="AW529">
        <v>2.891</v>
      </c>
      <c r="AX529">
        <v>2.8010000000000002</v>
      </c>
      <c r="AY529">
        <v>2.5750000000000002</v>
      </c>
      <c r="BD5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561.29345161066965</v>
      </c>
      <c r="BE5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967.86084911165324</v>
      </c>
      <c r="BF5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1632.853677412857</v>
      </c>
      <c r="BG5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2320.8908116452908</v>
      </c>
      <c r="BH5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2857.4939354725002</v>
      </c>
      <c r="BI5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2962.8393340152647</v>
      </c>
      <c r="BJ5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3010.5739677299548</v>
      </c>
      <c r="BK5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2602.3605483767415</v>
      </c>
      <c r="BL5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1827.0842559760802</v>
      </c>
      <c r="BM5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1173.6135806404909</v>
      </c>
      <c r="BN5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543.18721123613193</v>
      </c>
      <c r="BO5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459.24009677236609</v>
      </c>
      <c r="BP529">
        <f>SUM(Таб[[#This Row],[1]:[12]])</f>
        <v>20919.291720000001</v>
      </c>
    </row>
    <row r="530" spans="2:68" ht="38.25">
      <c r="B530" t="s">
        <v>384</v>
      </c>
      <c r="C530" t="str">
        <f>IFERROR(VLOOKUP(Таб[[#This Row],[Зелений Тариф ЕЦ]],Sheet6!$H$9:$I$29,2,FALSE),"")</f>
        <v>Земля</v>
      </c>
      <c r="D530" t="s">
        <v>3368</v>
      </c>
      <c r="E530" t="s">
        <v>3368</v>
      </c>
      <c r="F530" t="s">
        <v>3369</v>
      </c>
      <c r="G530" s="139" t="s">
        <v>1366</v>
      </c>
      <c r="H530" t="s">
        <v>101</v>
      </c>
      <c r="J530" s="7">
        <v>21.77</v>
      </c>
      <c r="K530" s="8"/>
      <c r="L530" s="8">
        <v>41095</v>
      </c>
      <c r="M530">
        <v>7</v>
      </c>
      <c r="N530" s="49" t="s">
        <v>60</v>
      </c>
      <c r="O530">
        <v>2012</v>
      </c>
      <c r="P530">
        <v>0.25850000000000001</v>
      </c>
      <c r="Q530" s="10"/>
      <c r="R530" s="11">
        <f>ROUND(Таб[[#This Row],[Зелений Тариф ЕЦ]]+Таб[[#This Row],[Зелений Тариф ЕЦ]]*Таб[[#This Row],[% надбавки]],4)</f>
        <v>0.25850000000000001</v>
      </c>
      <c r="S530" s="12"/>
      <c r="T530">
        <v>1.2390000000000001</v>
      </c>
      <c r="U530">
        <v>1.5669999999999999</v>
      </c>
      <c r="V530">
        <v>2.5919999999999996</v>
      </c>
      <c r="W530">
        <v>2.9800000000000004</v>
      </c>
      <c r="X530">
        <v>3.8179999999999996</v>
      </c>
      <c r="Y530">
        <v>3.7300000000000004</v>
      </c>
      <c r="Z530">
        <v>3.7380000000000013</v>
      </c>
      <c r="AA530">
        <v>3.5579999999999998</v>
      </c>
      <c r="AB530">
        <v>3.1639999999999979</v>
      </c>
      <c r="AC530">
        <v>1.9260000000000019</v>
      </c>
      <c r="AD530">
        <v>0.88299999999999912</v>
      </c>
      <c r="AE530">
        <v>0.85999999999999943</v>
      </c>
      <c r="AF530">
        <v>1.083</v>
      </c>
      <c r="AG530">
        <v>0.83399999999999996</v>
      </c>
      <c r="AH530">
        <v>1.8660000000000001</v>
      </c>
      <c r="AI530">
        <v>3.6589999999999998</v>
      </c>
      <c r="AJ530">
        <v>3.74</v>
      </c>
      <c r="AK530">
        <v>3.427</v>
      </c>
      <c r="AL530">
        <v>3.1680000000000001</v>
      </c>
      <c r="AM530">
        <v>3.95</v>
      </c>
      <c r="AN530">
        <v>2.54</v>
      </c>
      <c r="AO530">
        <v>2.7160000000000002</v>
      </c>
      <c r="AP530">
        <v>0.67400000000000004</v>
      </c>
      <c r="AQ530">
        <v>0.56299999999999994</v>
      </c>
      <c r="AR530">
        <v>0.748</v>
      </c>
      <c r="AS530">
        <v>1.2729999999999999</v>
      </c>
      <c r="AT530">
        <v>3.101</v>
      </c>
      <c r="AU530">
        <v>3.0670000000000002</v>
      </c>
      <c r="AV530">
        <v>3.3130000000000002</v>
      </c>
      <c r="AW530">
        <v>3.6349999999999998</v>
      </c>
      <c r="AX530">
        <v>3.6190000000000002</v>
      </c>
      <c r="AY530">
        <v>3.7429999999999999</v>
      </c>
      <c r="BD5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701.01304810764032</v>
      </c>
      <c r="BE5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1208.7849627193327</v>
      </c>
      <c r="BF5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2039.3106854040441</v>
      </c>
      <c r="BG5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2898.6170024392163</v>
      </c>
      <c r="BH5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3568.7936994570782</v>
      </c>
      <c r="BI5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3700.3621307734675</v>
      </c>
      <c r="BJ5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3759.9790762137063</v>
      </c>
      <c r="BK5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3250.1514048626964</v>
      </c>
      <c r="BL5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2281.8899806436384</v>
      </c>
      <c r="BM5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1465.7545551341568</v>
      </c>
      <c r="BN5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678.39972397513588</v>
      </c>
      <c r="BO5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573.55613026988749</v>
      </c>
      <c r="BP530">
        <f>SUM(Таб[[#This Row],[1]:[12]])</f>
        <v>26126.612400000002</v>
      </c>
    </row>
    <row r="531" spans="2:68" ht="38.25">
      <c r="B531" t="s">
        <v>384</v>
      </c>
      <c r="C531" t="str">
        <f>IFERROR(VLOOKUP(Таб[[#This Row],[Зелений Тариф ЕЦ]],Sheet6!$H$9:$I$29,2,FALSE),"")</f>
        <v>Земля</v>
      </c>
      <c r="D531" t="s">
        <v>3368</v>
      </c>
      <c r="E531" t="s">
        <v>3368</v>
      </c>
      <c r="F531" t="s">
        <v>3369</v>
      </c>
      <c r="G531" s="139" t="s">
        <v>1369</v>
      </c>
      <c r="H531" t="s">
        <v>101</v>
      </c>
      <c r="J531" s="7">
        <v>21.181999999999999</v>
      </c>
      <c r="K531" s="8"/>
      <c r="L531" s="8">
        <v>41091</v>
      </c>
      <c r="M531">
        <v>7</v>
      </c>
      <c r="N531" s="49" t="s">
        <v>60</v>
      </c>
      <c r="O531">
        <v>2012</v>
      </c>
      <c r="P531">
        <v>0.25850000000000001</v>
      </c>
      <c r="Q531" s="10"/>
      <c r="R531" s="11">
        <f>ROUND(Таб[[#This Row],[Зелений Тариф ЕЦ]]+Таб[[#This Row],[Зелений Тариф ЕЦ]]*Таб[[#This Row],[% надбавки]],4)</f>
        <v>0.25850000000000001</v>
      </c>
      <c r="S531" s="12"/>
      <c r="T531">
        <v>1.177</v>
      </c>
      <c r="U531">
        <v>1.5179999999999998</v>
      </c>
      <c r="V531">
        <v>2.512</v>
      </c>
      <c r="W531">
        <v>2.8890000000000002</v>
      </c>
      <c r="X531">
        <v>3.6760000000000002</v>
      </c>
      <c r="Y531">
        <v>3.5860000000000003</v>
      </c>
      <c r="Z531">
        <v>3.6050000000000004</v>
      </c>
      <c r="AA531">
        <v>3.4160000000000004</v>
      </c>
      <c r="AB531">
        <v>3.046999999999997</v>
      </c>
      <c r="AC531">
        <v>1.8640000000000008</v>
      </c>
      <c r="AD531">
        <v>0.85500000000000043</v>
      </c>
      <c r="AE531">
        <v>0.82000000000000028</v>
      </c>
      <c r="AF531">
        <v>1.0509999999999999</v>
      </c>
      <c r="AG531">
        <v>0.79600000000000004</v>
      </c>
      <c r="AH531">
        <v>1.798</v>
      </c>
      <c r="AI531">
        <v>3.53</v>
      </c>
      <c r="AJ531">
        <v>3.5920000000000001</v>
      </c>
      <c r="AK531">
        <v>3.2930000000000001</v>
      </c>
      <c r="AL531">
        <v>3.0710000000000002</v>
      </c>
      <c r="AM531">
        <v>3.774</v>
      </c>
      <c r="AN531">
        <v>2.4529999999999998</v>
      </c>
      <c r="AO531">
        <v>2.62</v>
      </c>
      <c r="AP531">
        <v>0.65</v>
      </c>
      <c r="AQ531">
        <v>0.53900000000000003</v>
      </c>
      <c r="AR531">
        <v>0.69299999999999995</v>
      </c>
      <c r="AS531">
        <v>1.2210000000000001</v>
      </c>
      <c r="AT531">
        <v>2.9980000000000002</v>
      </c>
      <c r="AU531">
        <v>2.948</v>
      </c>
      <c r="AV531">
        <v>3.1949999999999998</v>
      </c>
      <c r="AW531">
        <v>3.4670000000000001</v>
      </c>
      <c r="AX531">
        <v>3.4239999999999999</v>
      </c>
      <c r="AY531">
        <v>3.5830000000000002</v>
      </c>
      <c r="BD5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682.07893362499021</v>
      </c>
      <c r="BE5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1176.1361084208042</v>
      </c>
      <c r="BF5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1984.2296250908805</v>
      </c>
      <c r="BG5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2820.3263824376422</v>
      </c>
      <c r="BH5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3472.4018439090405</v>
      </c>
      <c r="BI5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3600.4166584310328</v>
      </c>
      <c r="BJ5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3658.4233712613113</v>
      </c>
      <c r="BK5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3162.3659649885908</v>
      </c>
      <c r="BL5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2220.2569393658036</v>
      </c>
      <c r="BM5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1426.1650430340701</v>
      </c>
      <c r="BN5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660.07638737902278</v>
      </c>
      <c r="BO5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558.06458205681008</v>
      </c>
      <c r="BP531">
        <f>SUM(Таб[[#This Row],[1]:[12]])</f>
        <v>25420.941840000003</v>
      </c>
    </row>
    <row r="532" spans="2:68" ht="25.5">
      <c r="B532" t="s">
        <v>384</v>
      </c>
      <c r="C532" t="str">
        <f>IFERROR(VLOOKUP(Таб[[#This Row],[Зелений Тариф ЕЦ]],Sheet6!$H$9:$I$29,2,FALSE),"")</f>
        <v>Земля</v>
      </c>
      <c r="D532" t="s">
        <v>3380</v>
      </c>
      <c r="E532" t="s">
        <v>3380</v>
      </c>
      <c r="F532" t="s">
        <v>3287</v>
      </c>
      <c r="G532" s="1" t="s">
        <v>1370</v>
      </c>
      <c r="H532" t="s">
        <v>73</v>
      </c>
      <c r="J532" s="7">
        <v>2.9809999999999999</v>
      </c>
      <c r="K532" s="8"/>
      <c r="L532" s="8">
        <v>43596</v>
      </c>
      <c r="M532">
        <v>5</v>
      </c>
      <c r="N532" s="49" t="s">
        <v>57</v>
      </c>
      <c r="O532">
        <v>2019</v>
      </c>
      <c r="P532">
        <v>0.15029999999999999</v>
      </c>
      <c r="Q532" s="10"/>
      <c r="R532" s="11">
        <f>ROUND(Таб[[#This Row],[Зелений Тариф ЕЦ]]+Таб[[#This Row],[Зелений Тариф ЕЦ]]*Таб[[#This Row],[% надбавки]],4)</f>
        <v>0.15029999999999999</v>
      </c>
      <c r="S532" s="12"/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0.47299999999999998</v>
      </c>
      <c r="AX532">
        <v>0.51300000000000001</v>
      </c>
      <c r="AY532">
        <v>0.499</v>
      </c>
      <c r="BD5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95.990808287040693</v>
      </c>
      <c r="BE5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165.520807251554</v>
      </c>
      <c r="BF5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279.24598774411828</v>
      </c>
      <c r="BG5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396.9121398379101</v>
      </c>
      <c r="BH5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488.68047855220709</v>
      </c>
      <c r="BI5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506.69634872924701</v>
      </c>
      <c r="BJ5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514.85978990321814</v>
      </c>
      <c r="BK5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445.04829296718856</v>
      </c>
      <c r="BL5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312.46274838303566</v>
      </c>
      <c r="BM5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200.70805369108507</v>
      </c>
      <c r="BN5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92.894330600361968</v>
      </c>
      <c r="BO5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78.537934053033283</v>
      </c>
      <c r="BP532">
        <f>SUM(Таб[[#This Row],[1]:[12]])</f>
        <v>3577.5577200000007</v>
      </c>
    </row>
    <row r="533" spans="2:68" ht="25.5">
      <c r="B533" t="s">
        <v>384</v>
      </c>
      <c r="C533" t="str">
        <f>IFERROR(VLOOKUP(Таб[[#This Row],[Зелений Тариф ЕЦ]],Sheet6!$H$9:$I$29,2,FALSE),"")</f>
        <v>Земля</v>
      </c>
      <c r="D533" t="s">
        <v>3380</v>
      </c>
      <c r="E533" t="s">
        <v>3380</v>
      </c>
      <c r="F533" t="s">
        <v>3287</v>
      </c>
      <c r="G533" s="1" t="s">
        <v>1372</v>
      </c>
      <c r="H533" t="s">
        <v>73</v>
      </c>
      <c r="J533" s="7">
        <v>5.524</v>
      </c>
      <c r="K533" s="8"/>
      <c r="L533" s="8">
        <v>42905</v>
      </c>
      <c r="M533">
        <v>6</v>
      </c>
      <c r="N533" s="49" t="s">
        <v>57</v>
      </c>
      <c r="O533">
        <v>2017</v>
      </c>
      <c r="P533">
        <v>0.15029999999999999</v>
      </c>
      <c r="Q533" s="10">
        <v>0.05</v>
      </c>
      <c r="R533" s="11">
        <f>ROUND(Таб[[#This Row],[Зелений Тариф ЕЦ]]+Таб[[#This Row],[Зелений Тариф ЕЦ]]*Таб[[#This Row],[% надбавки]],4)</f>
        <v>0.1578</v>
      </c>
      <c r="S533" s="12">
        <v>43096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0.93899999999999995</v>
      </c>
      <c r="AA533">
        <v>0.89800000000000002</v>
      </c>
      <c r="AB533">
        <v>0.66300000000000003</v>
      </c>
      <c r="AC533">
        <v>0.31700000000000017</v>
      </c>
      <c r="AD533">
        <v>0.21699999999999964</v>
      </c>
      <c r="AE533">
        <v>0.13200000000000012</v>
      </c>
      <c r="AF533">
        <v>0.182</v>
      </c>
      <c r="AG533">
        <v>0.24399999999999999</v>
      </c>
      <c r="AH533">
        <v>0.48399999999999999</v>
      </c>
      <c r="AI533">
        <v>0.89500000000000002</v>
      </c>
      <c r="AJ533">
        <v>0.96799999999999997</v>
      </c>
      <c r="AK533">
        <v>0.93500000000000005</v>
      </c>
      <c r="AL533">
        <v>0.84199999999999997</v>
      </c>
      <c r="AM533">
        <v>0.94799999999999995</v>
      </c>
      <c r="AN533">
        <v>0.61599999999999999</v>
      </c>
      <c r="AO533">
        <v>0.64300000000000002</v>
      </c>
      <c r="AP533">
        <v>0.22800000000000001</v>
      </c>
      <c r="AQ533">
        <v>0.10299999999999999</v>
      </c>
      <c r="AR533">
        <v>0.14199999999999999</v>
      </c>
      <c r="AS533">
        <v>0.28000000000000003</v>
      </c>
      <c r="AT533">
        <v>0.65900000000000003</v>
      </c>
      <c r="AU533">
        <v>0.86599999999999999</v>
      </c>
      <c r="AV533">
        <v>0.86799999999999999</v>
      </c>
      <c r="AW533">
        <v>0.94099999999999995</v>
      </c>
      <c r="AX533">
        <v>0.98899999999999999</v>
      </c>
      <c r="AY533">
        <v>0.86399999999999999</v>
      </c>
      <c r="BD5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177.87763333700531</v>
      </c>
      <c r="BE5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306.72154956644897</v>
      </c>
      <c r="BF5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517.46220607128805</v>
      </c>
      <c r="BG5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735.50575661342361</v>
      </c>
      <c r="BH5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905.55886062475406</v>
      </c>
      <c r="BI5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938.94351908096633</v>
      </c>
      <c r="BJ5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954.07094244393727</v>
      </c>
      <c r="BK5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824.70539092611557</v>
      </c>
      <c r="BL5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579.01517009992926</v>
      </c>
      <c r="BM5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371.92596061373825</v>
      </c>
      <c r="BN5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172.13964516484384</v>
      </c>
      <c r="BO5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145.53624545754977</v>
      </c>
      <c r="BP533">
        <f>SUM(Таб[[#This Row],[1]:[12]])</f>
        <v>6629.462880000001</v>
      </c>
    </row>
    <row r="534" spans="2:68" ht="38.25">
      <c r="B534" t="s">
        <v>384</v>
      </c>
      <c r="C534" t="str">
        <f>IFERROR(VLOOKUP(Таб[[#This Row],[Зелений Тариф ЕЦ]],Sheet6!$H$9:$I$29,2,FALSE),"")</f>
        <v>Земля</v>
      </c>
      <c r="D534" t="s">
        <v>3380</v>
      </c>
      <c r="E534" t="s">
        <v>3380</v>
      </c>
      <c r="F534" t="s">
        <v>3287</v>
      </c>
      <c r="G534" s="1" t="s">
        <v>1375</v>
      </c>
      <c r="H534" t="s">
        <v>73</v>
      </c>
      <c r="J534" s="7">
        <v>18.295000000000002</v>
      </c>
      <c r="K534" s="8"/>
      <c r="L534" s="8">
        <v>43403</v>
      </c>
      <c r="M534">
        <v>10</v>
      </c>
      <c r="N534" s="49" t="s">
        <v>71</v>
      </c>
      <c r="O534">
        <v>2018</v>
      </c>
      <c r="P534">
        <v>0.15029999999999999</v>
      </c>
      <c r="Q534" s="10">
        <v>0.05</v>
      </c>
      <c r="R534" s="11">
        <f>ROUND(Таб[[#This Row],[Зелений Тариф ЕЦ]]+Таб[[#This Row],[Зелений Тариф ЕЦ]]*Таб[[#This Row],[% надбавки]],4)</f>
        <v>0.1578</v>
      </c>
      <c r="S534" s="12">
        <v>43448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0.57099999999999995</v>
      </c>
      <c r="AQ534">
        <v>0.41399999999999998</v>
      </c>
      <c r="AR534">
        <v>0.59099999999999997</v>
      </c>
      <c r="AS534">
        <v>1.238</v>
      </c>
      <c r="AT534">
        <v>2.4359999999999999</v>
      </c>
      <c r="AU534">
        <v>2.82</v>
      </c>
      <c r="AV534">
        <v>2.887</v>
      </c>
      <c r="AW534">
        <v>3.1749999999999998</v>
      </c>
      <c r="AX534">
        <v>1.9670000000000001</v>
      </c>
      <c r="AY534">
        <v>2.984</v>
      </c>
      <c r="BD5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589.11500758517604</v>
      </c>
      <c r="BE5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1015.8346758360219</v>
      </c>
      <c r="BF5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1713.7891129750569</v>
      </c>
      <c r="BG5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2435.9300900149501</v>
      </c>
      <c r="BH5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2999.1309477063501</v>
      </c>
      <c r="BI5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3109.6979872531283</v>
      </c>
      <c r="BJ5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3159.7986770477619</v>
      </c>
      <c r="BK5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2731.3513988039972</v>
      </c>
      <c r="BL5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1917.6470921394293</v>
      </c>
      <c r="BM5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1231.7859249508224</v>
      </c>
      <c r="BN5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570.11129766307351</v>
      </c>
      <c r="BO5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482.00318802423487</v>
      </c>
      <c r="BP534">
        <f>SUM(Таб[[#This Row],[1]:[12]])</f>
        <v>21956.195400000001</v>
      </c>
    </row>
    <row r="535" spans="2:68" ht="38.25">
      <c r="B535" t="s">
        <v>384</v>
      </c>
      <c r="C535" t="str">
        <f>IFERROR(VLOOKUP(Таб[[#This Row],[Зелений Тариф ЕЦ]],Sheet6!$H$9:$I$29,2,FALSE),"")</f>
        <v>Земля</v>
      </c>
      <c r="G535" s="1" t="s">
        <v>1378</v>
      </c>
      <c r="H535" t="s">
        <v>65</v>
      </c>
      <c r="J535" s="7">
        <v>5.5659999999999998</v>
      </c>
      <c r="K535" s="8"/>
      <c r="L535" s="8">
        <v>43641</v>
      </c>
      <c r="M535">
        <v>6</v>
      </c>
      <c r="N535" s="49" t="s">
        <v>57</v>
      </c>
      <c r="O535">
        <v>2019</v>
      </c>
      <c r="P535">
        <v>0.15029999999999999</v>
      </c>
      <c r="Q535" s="10"/>
      <c r="R535" s="11">
        <f>ROUND(Таб[[#This Row],[Зелений Тариф ЕЦ]]+Таб[[#This Row],[Зелений Тариф ЕЦ]]*Таб[[#This Row],[% надбавки]],4)</f>
        <v>0.15029999999999999</v>
      </c>
      <c r="S535" s="12"/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0.55700000000000005</v>
      </c>
      <c r="AY535">
        <v>0.77700000000000002</v>
      </c>
      <c r="BD5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179.23007008576602</v>
      </c>
      <c r="BE5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309.05361058777243</v>
      </c>
      <c r="BF5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521.39656752222822</v>
      </c>
      <c r="BG5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741.09794375639308</v>
      </c>
      <c r="BH5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912.44399316389968</v>
      </c>
      <c r="BI5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946.08248139114005</v>
      </c>
      <c r="BJ5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961.32492136910855</v>
      </c>
      <c r="BK5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830.97577948855155</v>
      </c>
      <c r="BL5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583.41753019120313</v>
      </c>
      <c r="BM5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374.7537829066016</v>
      </c>
      <c r="BN5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173.44845492170904</v>
      </c>
      <c r="BO5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146.64278461562674</v>
      </c>
      <c r="BP535">
        <f>SUM(Таб[[#This Row],[1]:[12]])</f>
        <v>6679.8679199999988</v>
      </c>
    </row>
    <row r="536" spans="2:68" ht="38.25">
      <c r="B536" t="s">
        <v>384</v>
      </c>
      <c r="C536" t="str">
        <f>IFERROR(VLOOKUP(Таб[[#This Row],[Зелений Тариф ЕЦ]],Sheet6!$H$9:$I$29,2,FALSE),"")</f>
        <v>Земля</v>
      </c>
      <c r="G536" s="1" t="s">
        <v>1381</v>
      </c>
      <c r="H536" t="s">
        <v>122</v>
      </c>
      <c r="J536" s="7">
        <v>3.089</v>
      </c>
      <c r="K536" s="8"/>
      <c r="L536" s="8">
        <v>43627</v>
      </c>
      <c r="M536">
        <v>6</v>
      </c>
      <c r="N536" s="49" t="s">
        <v>57</v>
      </c>
      <c r="O536">
        <v>2019</v>
      </c>
      <c r="P536">
        <v>0.15029999999999999</v>
      </c>
      <c r="Q536" s="10"/>
      <c r="R536" s="11">
        <f>ROUND(Таб[[#This Row],[Зелений Тариф ЕЦ]]+Таб[[#This Row],[Зелений Тариф ЕЦ]]*Таб[[#This Row],[% надбавки]],4)</f>
        <v>0.15029999999999999</v>
      </c>
      <c r="S536" s="12"/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0.25900000000000001</v>
      </c>
      <c r="AY536">
        <v>0.48399999999999999</v>
      </c>
      <c r="BD5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99.468502783853978</v>
      </c>
      <c r="BE5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171.5175355921001</v>
      </c>
      <c r="BF5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289.36291718939333</v>
      </c>
      <c r="BG5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411.29204963411757</v>
      </c>
      <c r="BH5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506.38510508143827</v>
      </c>
      <c r="BI5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525.05368038397989</v>
      </c>
      <c r="BJ5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533.51287856794397</v>
      </c>
      <c r="BK5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461.17214927059564</v>
      </c>
      <c r="BL5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323.78310290345428</v>
      </c>
      <c r="BM5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207.97959672987645</v>
      </c>
      <c r="BN5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96.259841403729652</v>
      </c>
      <c r="BO5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81.383320459516881</v>
      </c>
      <c r="BP536">
        <f>SUM(Таб[[#This Row],[1]:[12]])</f>
        <v>3707.1706800000002</v>
      </c>
    </row>
    <row r="537" spans="2:68" ht="51">
      <c r="B537" t="s">
        <v>384</v>
      </c>
      <c r="C537" t="str">
        <f>IFERROR(VLOOKUP(Таб[[#This Row],[Зелений Тариф ЕЦ]],Sheet6!$H$9:$I$29,2,FALSE),"")</f>
        <v>Земля</v>
      </c>
      <c r="D537" t="s">
        <v>3387</v>
      </c>
      <c r="F537" t="s">
        <v>3287</v>
      </c>
      <c r="G537" s="1" t="s">
        <v>1383</v>
      </c>
      <c r="H537" t="s">
        <v>69</v>
      </c>
      <c r="J537" s="7">
        <v>23.155999999999999</v>
      </c>
      <c r="K537" s="8"/>
      <c r="L537" s="8">
        <v>43581</v>
      </c>
      <c r="M537">
        <v>4</v>
      </c>
      <c r="N537" s="49" t="s">
        <v>57</v>
      </c>
      <c r="O537">
        <v>2019</v>
      </c>
      <c r="P537">
        <v>0.15029999999999999</v>
      </c>
      <c r="Q537" s="10"/>
      <c r="R537" s="11">
        <f>ROUND(Таб[[#This Row],[Зелений Тариф ЕЦ]]+Таб[[#This Row],[Зелений Тариф ЕЦ]]*Таб[[#This Row],[% надбавки]],4)</f>
        <v>0.15029999999999999</v>
      </c>
      <c r="S537" s="12"/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3.9609999999999999</v>
      </c>
      <c r="AX537">
        <v>3.718</v>
      </c>
      <c r="AY537">
        <v>3.4590000000000001</v>
      </c>
      <c r="BD5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745.64346081674421</v>
      </c>
      <c r="BE5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1285.7429764230073</v>
      </c>
      <c r="BF5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2169.1446132850733</v>
      </c>
      <c r="BG5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3083.1591781572115</v>
      </c>
      <c r="BH5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3796.0030732488785</v>
      </c>
      <c r="BI5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3935.9478870092053</v>
      </c>
      <c r="BJ5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3999.3603807443537</v>
      </c>
      <c r="BK5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3457.0742274230861</v>
      </c>
      <c r="BL5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2427.1678636556771</v>
      </c>
      <c r="BM5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1559.0726907986464</v>
      </c>
      <c r="BN5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721.59044595168791</v>
      </c>
      <c r="BO5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610.07192248642696</v>
      </c>
      <c r="BP537">
        <f>SUM(Таб[[#This Row],[1]:[12]])</f>
        <v>27789.978720000003</v>
      </c>
    </row>
    <row r="538" spans="2:68" ht="51">
      <c r="B538" t="s">
        <v>384</v>
      </c>
      <c r="C538" t="str">
        <f>IFERROR(VLOOKUP(Таб[[#This Row],[Зелений Тариф ЕЦ]],Sheet6!$H$9:$I$29,2,FALSE),"")</f>
        <v>Земля</v>
      </c>
      <c r="G538" s="1" t="s">
        <v>1386</v>
      </c>
      <c r="H538" t="s">
        <v>73</v>
      </c>
      <c r="J538" s="7">
        <v>4.8470000000000004</v>
      </c>
      <c r="K538" s="8"/>
      <c r="L538" s="8">
        <v>43431</v>
      </c>
      <c r="M538">
        <v>11</v>
      </c>
      <c r="N538" s="49" t="s">
        <v>71</v>
      </c>
      <c r="O538">
        <v>2018</v>
      </c>
      <c r="P538">
        <v>0.15029999999999999</v>
      </c>
      <c r="Q538" s="10">
        <v>0.05</v>
      </c>
      <c r="R538" s="11">
        <f>ROUND(Таб[[#This Row],[Зелений Тариф ЕЦ]]+Таб[[#This Row],[Зелений Тариф ЕЦ]]*Таб[[#This Row],[% надбавки]],4)</f>
        <v>0.1578</v>
      </c>
      <c r="S538" s="12">
        <v>43476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0.63</v>
      </c>
      <c r="AU538">
        <v>0.71599999999999997</v>
      </c>
      <c r="AV538">
        <v>0.80700000000000005</v>
      </c>
      <c r="AW538">
        <v>0.79600000000000004</v>
      </c>
      <c r="AX538">
        <v>0.84199999999999997</v>
      </c>
      <c r="AY538">
        <v>0.81200000000000006</v>
      </c>
      <c r="BD5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156.07764098198129</v>
      </c>
      <c r="BE5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269.13094691321112</v>
      </c>
      <c r="BF5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454.04404649303649</v>
      </c>
      <c r="BG5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645.36502576127168</v>
      </c>
      <c r="BH5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794.57708136281371</v>
      </c>
      <c r="BI5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823.87024565268723</v>
      </c>
      <c r="BJ5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837.14371072153585</v>
      </c>
      <c r="BK5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723.63269909827682</v>
      </c>
      <c r="BL5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508.05331815249053</v>
      </c>
      <c r="BM5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326.34415841686996</v>
      </c>
      <c r="BN5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151.04287836965932</v>
      </c>
      <c r="BO5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127.69988807616653</v>
      </c>
      <c r="BP538">
        <f>SUM(Таб[[#This Row],[1]:[12]])</f>
        <v>5816.9816400000009</v>
      </c>
    </row>
    <row r="539" spans="2:68" ht="38.25">
      <c r="B539" t="s">
        <v>384</v>
      </c>
      <c r="C539" t="str">
        <f>IFERROR(VLOOKUP(Таб[[#This Row],[Зелений Тариф ЕЦ]],Sheet6!$H$9:$I$29,2,FALSE),"")</f>
        <v>Земля</v>
      </c>
      <c r="G539" s="1" t="s">
        <v>1389</v>
      </c>
      <c r="H539" t="s">
        <v>82</v>
      </c>
      <c r="J539" s="7">
        <v>3.1349999999999998</v>
      </c>
      <c r="K539" s="8"/>
      <c r="L539" s="8">
        <v>43431</v>
      </c>
      <c r="M539">
        <v>11</v>
      </c>
      <c r="N539" s="49" t="s">
        <v>71</v>
      </c>
      <c r="O539">
        <v>2018</v>
      </c>
      <c r="P539">
        <v>0.15029999999999999</v>
      </c>
      <c r="Q539" s="10"/>
      <c r="R539" s="11">
        <f>ROUND(Таб[[#This Row],[Зелений Тариф ЕЦ]]+Таб[[#This Row],[Зелений Тариф ЕЦ]]*Таб[[#This Row],[% надбавки]],4)</f>
        <v>0.15029999999999999</v>
      </c>
      <c r="S539" s="12"/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0.155</v>
      </c>
      <c r="AT539">
        <v>0.27900000000000003</v>
      </c>
      <c r="AU539">
        <v>0.47399999999999998</v>
      </c>
      <c r="AV539">
        <v>0.46700000000000003</v>
      </c>
      <c r="AW539">
        <v>0.47699999999999998</v>
      </c>
      <c r="AX539">
        <v>0.48299999999999998</v>
      </c>
      <c r="AY539">
        <v>0.502</v>
      </c>
      <c r="BD5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100.94974303249668</v>
      </c>
      <c r="BE5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174.07169766307342</v>
      </c>
      <c r="BF5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293.67197973089935</v>
      </c>
      <c r="BG5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417.41682602879843</v>
      </c>
      <c r="BH5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513.92596452907378</v>
      </c>
      <c r="BI5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532.87254386655115</v>
      </c>
      <c r="BJ5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541.45771262884557</v>
      </c>
      <c r="BK5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468.03971769612087</v>
      </c>
      <c r="BL5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328.60473538437327</v>
      </c>
      <c r="BM5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211.07673543158387</v>
      </c>
      <c r="BN5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97.693299708867741</v>
      </c>
      <c r="BO5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82.595244299315439</v>
      </c>
      <c r="BP539">
        <f>SUM(Таб[[#This Row],[1]:[12]])</f>
        <v>3762.3761999999997</v>
      </c>
    </row>
    <row r="540" spans="2:68" ht="51">
      <c r="B540" t="s">
        <v>384</v>
      </c>
      <c r="C540" t="str">
        <f>IFERROR(VLOOKUP(Таб[[#This Row],[Зелений Тариф ЕЦ]],Sheet6!$H$9:$I$29,2,FALSE),"")</f>
        <v>Земля</v>
      </c>
      <c r="G540" s="1" t="s">
        <v>1391</v>
      </c>
      <c r="H540" t="s">
        <v>172</v>
      </c>
      <c r="J540" s="7">
        <v>0.20899999999999999</v>
      </c>
      <c r="K540" s="8"/>
      <c r="L540" s="8">
        <v>43312</v>
      </c>
      <c r="M540">
        <v>7</v>
      </c>
      <c r="N540" s="49" t="s">
        <v>60</v>
      </c>
      <c r="O540">
        <v>2018</v>
      </c>
      <c r="P540">
        <v>0.15029999999999999</v>
      </c>
      <c r="Q540" s="10"/>
      <c r="R540" s="11">
        <f>ROUND(Таб[[#This Row],[Зелений Тариф ЕЦ]]+Таб[[#This Row],[Зелений Тариф ЕЦ]]*Таб[[#This Row],[% надбавки]],4)</f>
        <v>0.15029999999999999</v>
      </c>
      <c r="S540" s="12"/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0.02</v>
      </c>
      <c r="AO540">
        <v>1.9E-2</v>
      </c>
      <c r="AP540">
        <v>5.0000000000000001E-3</v>
      </c>
      <c r="AQ540">
        <v>3.0000000000000001E-3</v>
      </c>
      <c r="AR540">
        <v>6.0000000000000001E-3</v>
      </c>
      <c r="AS540">
        <v>1.2E-2</v>
      </c>
      <c r="AT540">
        <v>2.5000000000000001E-2</v>
      </c>
      <c r="AU540">
        <v>0.20100000000000001</v>
      </c>
      <c r="AV540">
        <v>0.374</v>
      </c>
      <c r="AW540">
        <v>0.51</v>
      </c>
      <c r="AX540">
        <v>0.49299999999999999</v>
      </c>
      <c r="AY540">
        <v>0.47499999999999998</v>
      </c>
      <c r="BD5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6.7299828688331118</v>
      </c>
      <c r="BE5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11.604779844204895</v>
      </c>
      <c r="BF5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19.578131982059954</v>
      </c>
      <c r="BG5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27.827788401919904</v>
      </c>
      <c r="BH5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34.261730968604923</v>
      </c>
      <c r="BI5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35.524836257770083</v>
      </c>
      <c r="BJ5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36.097180841923041</v>
      </c>
      <c r="BK5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31.202647846408059</v>
      </c>
      <c r="BL5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21.906982358958221</v>
      </c>
      <c r="BM5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14.071782362105591</v>
      </c>
      <c r="BN5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6.512886647257849</v>
      </c>
      <c r="BO5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5.5063496199543636</v>
      </c>
      <c r="BP540">
        <f>SUM(Таб[[#This Row],[1]:[12]])</f>
        <v>250.82508000000001</v>
      </c>
    </row>
    <row r="541" spans="2:68" ht="51">
      <c r="B541" t="s">
        <v>384</v>
      </c>
      <c r="C541" t="str">
        <f>IFERROR(VLOOKUP(Таб[[#This Row],[Зелений Тариф ЕЦ]],Sheet6!$H$9:$I$29,2,FALSE),"")</f>
        <v>Земля</v>
      </c>
      <c r="G541" s="1" t="s">
        <v>1391</v>
      </c>
      <c r="H541" t="s">
        <v>172</v>
      </c>
      <c r="J541" s="7">
        <v>2.8879999999999999</v>
      </c>
      <c r="K541" s="8"/>
      <c r="L541" s="8">
        <v>43553</v>
      </c>
      <c r="M541">
        <v>3</v>
      </c>
      <c r="N541" s="49" t="s">
        <v>67</v>
      </c>
      <c r="O541">
        <v>2019</v>
      </c>
      <c r="P541">
        <v>0.15029999999999999</v>
      </c>
      <c r="Q541" s="10"/>
      <c r="R541" s="11">
        <f>ROUND(Таб[[#This Row],[Зелений Тариф ЕЦ]]+Таб[[#This Row],[Зелений Тариф ЕЦ]]*Таб[[#This Row],[% надбавки]],4)</f>
        <v>0.15029999999999999</v>
      </c>
      <c r="S541" s="12"/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BD5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92.99612691478481</v>
      </c>
      <c r="BE5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160.35695784719491</v>
      </c>
      <c r="BF5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270.53418738846483</v>
      </c>
      <c r="BG5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384.52943973562049</v>
      </c>
      <c r="BH5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473.43482792981354</v>
      </c>
      <c r="BI5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490.88864647100479</v>
      </c>
      <c r="BJ5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498.79740799748208</v>
      </c>
      <c r="BK5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431.16386115036585</v>
      </c>
      <c r="BL5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302.71466532378633</v>
      </c>
      <c r="BM5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194.44644718545914</v>
      </c>
      <c r="BN5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89.996251853017554</v>
      </c>
      <c r="BO5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76.087740203005751</v>
      </c>
      <c r="BP541">
        <f>SUM(Таб[[#This Row],[1]:[12]])</f>
        <v>3465.9465599999994</v>
      </c>
    </row>
    <row r="542" spans="2:68" ht="38.25">
      <c r="B542" t="s">
        <v>384</v>
      </c>
      <c r="C542" t="str">
        <f>IFERROR(VLOOKUP(Таб[[#This Row],[Зелений Тариф ЕЦ]],Sheet6!$H$9:$I$29,2,FALSE),"")</f>
        <v>Земля</v>
      </c>
      <c r="G542" s="1" t="s">
        <v>1394</v>
      </c>
      <c r="H542" t="s">
        <v>98</v>
      </c>
      <c r="J542" s="7">
        <v>9.94</v>
      </c>
      <c r="K542" s="8"/>
      <c r="L542" s="8">
        <v>43096</v>
      </c>
      <c r="M542">
        <v>12</v>
      </c>
      <c r="N542" s="49" t="s">
        <v>71</v>
      </c>
      <c r="O542">
        <v>2017</v>
      </c>
      <c r="P542">
        <v>0.15029999999999999</v>
      </c>
      <c r="Q542" s="10"/>
      <c r="R542" s="11">
        <f>ROUND(Таб[[#This Row],[Зелений Тариф ЕЦ]]+Таб[[#This Row],[Зелений Тариф ЕЦ]]*Таб[[#This Row],[% надбавки]],4)</f>
        <v>0.15029999999999999</v>
      </c>
      <c r="S542" s="12"/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0.32500000000000001</v>
      </c>
      <c r="AG542">
        <v>0.32500000000000001</v>
      </c>
      <c r="AH542">
        <v>1.0089999999999999</v>
      </c>
      <c r="AI542">
        <v>1.47</v>
      </c>
      <c r="AJ542">
        <v>1.7170000000000001</v>
      </c>
      <c r="AK542">
        <v>1.385</v>
      </c>
      <c r="AL542">
        <v>1.292</v>
      </c>
      <c r="AM542">
        <v>1.4430000000000001</v>
      </c>
      <c r="AN542">
        <v>1.1919999999999999</v>
      </c>
      <c r="AO542">
        <v>0.88600000000000001</v>
      </c>
      <c r="AP542">
        <v>0.47499999999999998</v>
      </c>
      <c r="AQ542">
        <v>0.126</v>
      </c>
      <c r="AR542">
        <v>0.17499999999999999</v>
      </c>
      <c r="AS542">
        <v>0.70899999999999996</v>
      </c>
      <c r="AT542">
        <v>0.95</v>
      </c>
      <c r="AU542">
        <v>1.321</v>
      </c>
      <c r="AV542">
        <v>1.1100000000000001</v>
      </c>
      <c r="AW542">
        <v>1.653</v>
      </c>
      <c r="AX542">
        <v>1.462</v>
      </c>
      <c r="AY542">
        <v>1.4990000000000001</v>
      </c>
      <c r="BD5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320.07669720670395</v>
      </c>
      <c r="BE5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551.92110837988832</v>
      </c>
      <c r="BF5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931.1322100558657</v>
      </c>
      <c r="BG5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1323.4842905027933</v>
      </c>
      <c r="BH5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1629.4813675977653</v>
      </c>
      <c r="BI5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1689.5544134078209</v>
      </c>
      <c r="BJ5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1716.7750122905027</v>
      </c>
      <c r="BK5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1483.9919597765363</v>
      </c>
      <c r="BL5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1041.8918882681564</v>
      </c>
      <c r="BM5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669.25127597765356</v>
      </c>
      <c r="BN5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309.7516424581006</v>
      </c>
      <c r="BO5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261.88093407821231</v>
      </c>
      <c r="BP542">
        <f>SUM(Таб[[#This Row],[1]:[12]])</f>
        <v>11929.192799999997</v>
      </c>
    </row>
    <row r="543" spans="2:68" ht="38.25">
      <c r="B543" t="s">
        <v>384</v>
      </c>
      <c r="C543" t="str">
        <f>IFERROR(VLOOKUP(Таб[[#This Row],[Зелений Тариф ЕЦ]],Sheet6!$H$9:$I$29,2,FALSE),"")</f>
        <v>Дах</v>
      </c>
      <c r="G543" s="1" t="s">
        <v>61</v>
      </c>
      <c r="H543" t="s">
        <v>62</v>
      </c>
      <c r="J543" s="7">
        <v>0.13400000000000001</v>
      </c>
      <c r="K543" s="8"/>
      <c r="L543" s="8">
        <v>41389</v>
      </c>
      <c r="M543">
        <v>4</v>
      </c>
      <c r="N543" s="49" t="s">
        <v>57</v>
      </c>
      <c r="O543">
        <v>2013</v>
      </c>
      <c r="P543">
        <v>0.44590000000000002</v>
      </c>
      <c r="Q543" s="10"/>
      <c r="R543" s="11">
        <f>ROUND(Таб[[#This Row],[Зелений Тариф ЕЦ]]+Таб[[#This Row],[Зелений Тариф ЕЦ]]*Таб[[#This Row],[% надбавки]],4)</f>
        <v>0.44590000000000002</v>
      </c>
      <c r="S543" s="12"/>
      <c r="T543">
        <v>2E-3</v>
      </c>
      <c r="U543">
        <v>5.0000000000000001E-3</v>
      </c>
      <c r="V543">
        <v>8.0000000000000002E-3</v>
      </c>
      <c r="W543">
        <v>1.6E-2</v>
      </c>
      <c r="X543">
        <v>1.8000000000000002E-2</v>
      </c>
      <c r="Y543">
        <v>2.1000000000000005E-2</v>
      </c>
      <c r="Z543">
        <v>1.999999999999999E-2</v>
      </c>
      <c r="AA543">
        <v>1.8000000000000002E-2</v>
      </c>
      <c r="AB543">
        <v>1.1999999999999997E-2</v>
      </c>
      <c r="AC543">
        <v>8.0000000000000071E-3</v>
      </c>
      <c r="AD543">
        <v>2.0000000000000018E-3</v>
      </c>
      <c r="AE543">
        <v>2.0000000000000018E-3</v>
      </c>
      <c r="AF543">
        <v>1E-3</v>
      </c>
      <c r="AG543">
        <v>1E-3</v>
      </c>
      <c r="AH543">
        <v>6.0000000000000001E-3</v>
      </c>
      <c r="AI543">
        <v>1.7999999999999999E-2</v>
      </c>
      <c r="AJ543">
        <v>0.02</v>
      </c>
      <c r="AK543">
        <v>1.7999999999999999E-2</v>
      </c>
      <c r="AL543">
        <v>1.7000000000000001E-2</v>
      </c>
      <c r="AM543">
        <v>1.9E-2</v>
      </c>
      <c r="AN543">
        <v>1.2999999999999999E-2</v>
      </c>
      <c r="AO543">
        <v>0.01</v>
      </c>
      <c r="AP543">
        <v>3.0000000000000001E-3</v>
      </c>
      <c r="AQ543">
        <v>0</v>
      </c>
      <c r="AR543">
        <v>2E-3</v>
      </c>
      <c r="AS543">
        <v>6.0000000000000001E-3</v>
      </c>
      <c r="AT543">
        <v>1.0999999999999999E-2</v>
      </c>
      <c r="AU543">
        <v>1.6E-2</v>
      </c>
      <c r="AV543">
        <v>1.4999999999999999E-2</v>
      </c>
      <c r="AW543">
        <v>2.1000000000000001E-2</v>
      </c>
      <c r="AX543">
        <v>2.1000000000000001E-2</v>
      </c>
      <c r="AY543">
        <v>1.9E-2</v>
      </c>
      <c r="BD5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4.31491724604611</v>
      </c>
      <c r="BE5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7.4403851632701246</v>
      </c>
      <c r="BF5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12.552486533952319</v>
      </c>
      <c r="BG5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17.841739932331421</v>
      </c>
      <c r="BH5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21.966851434416554</v>
      </c>
      <c r="BI5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22.776689275316706</v>
      </c>
      <c r="BJ5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23.143647046974586</v>
      </c>
      <c r="BK5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20.005525413486506</v>
      </c>
      <c r="BL5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14.045625053111969</v>
      </c>
      <c r="BM5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9.0220996962782287</v>
      </c>
      <c r="BN5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4.1757263671413964</v>
      </c>
      <c r="BO5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3.5303868376740897</v>
      </c>
      <c r="BP543">
        <f>SUM(Таб[[#This Row],[1]:[12]])</f>
        <v>160.81608</v>
      </c>
    </row>
    <row r="544" spans="2:68" ht="63.75">
      <c r="B544" t="s">
        <v>384</v>
      </c>
      <c r="C544" t="str">
        <f>IFERROR(VLOOKUP(Таб[[#This Row],[Зелений Тариф ЕЦ]],Sheet6!$H$9:$I$29,2,FALSE),"")</f>
        <v>Дах</v>
      </c>
      <c r="G544" s="1" t="s">
        <v>760</v>
      </c>
      <c r="H544" t="s">
        <v>198</v>
      </c>
      <c r="J544" s="7">
        <v>0.64800000000000002</v>
      </c>
      <c r="K544" s="8"/>
      <c r="L544" s="8">
        <v>41557</v>
      </c>
      <c r="M544">
        <v>10</v>
      </c>
      <c r="N544" s="49" t="s">
        <v>71</v>
      </c>
      <c r="O544">
        <v>2013</v>
      </c>
      <c r="P544">
        <v>0.34899999999999998</v>
      </c>
      <c r="Q544" s="10"/>
      <c r="R544" s="11">
        <f>ROUND(Таб[[#This Row],[Зелений Тариф ЕЦ]]+Таб[[#This Row],[Зелений Тариф ЕЦ]]*Таб[[#This Row],[% надбавки]],4)</f>
        <v>0.34899999999999998</v>
      </c>
      <c r="S544" s="12"/>
      <c r="T544">
        <v>2.5999999999999999E-2</v>
      </c>
      <c r="U544">
        <v>3.9000000000000007E-2</v>
      </c>
      <c r="V544">
        <v>7.8999999999999987E-2</v>
      </c>
      <c r="W544">
        <v>0.12200000000000003</v>
      </c>
      <c r="X544">
        <v>0.13600000000000001</v>
      </c>
      <c r="Y544">
        <v>0.14500000000000002</v>
      </c>
      <c r="Z544">
        <v>0.1409999999999999</v>
      </c>
      <c r="AA544">
        <v>0.13900000000000001</v>
      </c>
      <c r="AB544">
        <v>9.6000000000000085E-2</v>
      </c>
      <c r="AC544">
        <v>4.6999999999999931E-2</v>
      </c>
      <c r="AD544">
        <v>2.5000000000000022E-2</v>
      </c>
      <c r="AE544">
        <v>1.19999999999999E-2</v>
      </c>
      <c r="AF544">
        <v>2.8000000000000001E-2</v>
      </c>
      <c r="AG544">
        <v>0.04</v>
      </c>
      <c r="AH544">
        <v>0.04</v>
      </c>
      <c r="AI544">
        <v>0.108</v>
      </c>
      <c r="AJ544">
        <v>0.16800000000000001</v>
      </c>
      <c r="AK544">
        <v>0.14599999999999999</v>
      </c>
      <c r="AL544">
        <v>0.13300000000000001</v>
      </c>
      <c r="AM544">
        <v>0.14299999999999999</v>
      </c>
      <c r="AN544">
        <v>9.5000000000000001E-2</v>
      </c>
      <c r="AO544">
        <v>0.08</v>
      </c>
      <c r="AP544">
        <v>2.3E-2</v>
      </c>
      <c r="AQ544">
        <v>7.0000000000000001E-3</v>
      </c>
      <c r="AR544">
        <v>8.9999999999999993E-3</v>
      </c>
      <c r="AS544">
        <v>4.2000000000000003E-2</v>
      </c>
      <c r="AT544">
        <v>7.3999999999999996E-2</v>
      </c>
      <c r="AU544">
        <v>0.111</v>
      </c>
      <c r="AV544">
        <v>0.1</v>
      </c>
      <c r="AW544">
        <v>0.152</v>
      </c>
      <c r="AX544">
        <v>0.12</v>
      </c>
      <c r="AY544">
        <v>0.127</v>
      </c>
      <c r="BD5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20.866166980879697</v>
      </c>
      <c r="BE5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35.980370043276416</v>
      </c>
      <c r="BF5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60.701576671650017</v>
      </c>
      <c r="BG5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86.279458777244471</v>
      </c>
      <c r="BH5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106.22775917538752</v>
      </c>
      <c r="BI5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110.1439899283972</v>
      </c>
      <c r="BJ5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111.91853198835472</v>
      </c>
      <c r="BK5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96.743137820442229</v>
      </c>
      <c r="BL5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67.922127122511611</v>
      </c>
      <c r="BM5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43.629258232748448</v>
      </c>
      <c r="BN5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20.193064820206157</v>
      </c>
      <c r="BO5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17.072318438901565</v>
      </c>
      <c r="BP544">
        <f>SUM(Таб[[#This Row],[1]:[12]])</f>
        <v>777.67776000000015</v>
      </c>
    </row>
    <row r="545" spans="2:68" ht="38.25">
      <c r="B545" t="s">
        <v>384</v>
      </c>
      <c r="C545" t="str">
        <f>IFERROR(VLOOKUP(Таб[[#This Row],[Зелений Тариф ЕЦ]],Sheet6!$H$9:$I$29,2,FALSE),"")</f>
        <v>Дах</v>
      </c>
      <c r="G545" s="1" t="s">
        <v>1402</v>
      </c>
      <c r="H545" t="s">
        <v>185</v>
      </c>
      <c r="J545" s="7">
        <v>0.107</v>
      </c>
      <c r="K545" s="8"/>
      <c r="L545" s="8">
        <v>41634</v>
      </c>
      <c r="M545">
        <v>12</v>
      </c>
      <c r="N545" s="49" t="s">
        <v>71</v>
      </c>
      <c r="O545">
        <v>2013</v>
      </c>
      <c r="P545">
        <v>0.44590000000000002</v>
      </c>
      <c r="Q545" s="10"/>
      <c r="R545" s="11">
        <f>ROUND(Таб[[#This Row],[Зелений Тариф ЕЦ]]+Таб[[#This Row],[Зелений Тариф ЕЦ]]*Таб[[#This Row],[% надбавки]],4)</f>
        <v>0.44590000000000002</v>
      </c>
      <c r="S545" s="12"/>
      <c r="T545">
        <v>0</v>
      </c>
      <c r="U545">
        <v>2E-3</v>
      </c>
      <c r="V545">
        <v>3.0000000000000001E-3</v>
      </c>
      <c r="W545">
        <v>9.0000000000000011E-3</v>
      </c>
      <c r="X545">
        <v>1.1999999999999999E-2</v>
      </c>
      <c r="Y545">
        <v>1.2E-2</v>
      </c>
      <c r="Z545">
        <v>1.1000000000000003E-2</v>
      </c>
      <c r="AA545">
        <v>1.0999999999999996E-2</v>
      </c>
      <c r="AB545">
        <v>1.0000000000000009E-2</v>
      </c>
      <c r="AC545">
        <v>2.9999999999999888E-3</v>
      </c>
      <c r="AD545">
        <v>1.0000000000000009E-3</v>
      </c>
      <c r="AE545">
        <v>0</v>
      </c>
      <c r="AF545">
        <v>0</v>
      </c>
      <c r="AG545">
        <v>2E-3</v>
      </c>
      <c r="AH545">
        <v>5.0000000000000001E-3</v>
      </c>
      <c r="AI545">
        <v>0.01</v>
      </c>
      <c r="AJ545">
        <v>1.2999999999999999E-2</v>
      </c>
      <c r="AK545">
        <v>1.2999999999999999E-2</v>
      </c>
      <c r="AL545">
        <v>1.2E-2</v>
      </c>
      <c r="AM545">
        <v>1.2999999999999999E-2</v>
      </c>
      <c r="AN545">
        <v>8.9999999999999993E-3</v>
      </c>
      <c r="AO545">
        <v>6.0000000000000001E-3</v>
      </c>
      <c r="AP545">
        <v>1E-3</v>
      </c>
      <c r="AQ545">
        <v>0</v>
      </c>
      <c r="AR545">
        <v>0</v>
      </c>
      <c r="AS545">
        <v>2E-3</v>
      </c>
      <c r="AT545">
        <v>7.0000000000000001E-3</v>
      </c>
      <c r="AU545">
        <v>1.2E-2</v>
      </c>
      <c r="AV545">
        <v>1.2E-2</v>
      </c>
      <c r="AW545">
        <v>1.2E-2</v>
      </c>
      <c r="AX545">
        <v>0</v>
      </c>
      <c r="AY545">
        <v>3.0000000000000001E-3</v>
      </c>
      <c r="BD5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3.4454936218427892</v>
      </c>
      <c r="BE5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5.941203078133606</v>
      </c>
      <c r="BF5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10.023254172633566</v>
      </c>
      <c r="BG5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14.246762483279566</v>
      </c>
      <c r="BH5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17.540694802108739</v>
      </c>
      <c r="BI5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18.187356361633491</v>
      </c>
      <c r="BJ5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18.480374880793136</v>
      </c>
      <c r="BK5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15.974561337634746</v>
      </c>
      <c r="BL5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11.215536423007318</v>
      </c>
      <c r="BM5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7.2042139365803752</v>
      </c>
      <c r="BN5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3.3343486662994737</v>
      </c>
      <c r="BO5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2.8190402360531905</v>
      </c>
      <c r="BP545">
        <f>SUM(Таб[[#This Row],[1]:[12]])</f>
        <v>128.41283999999999</v>
      </c>
    </row>
    <row r="546" spans="2:68" ht="38.25">
      <c r="B546" t="s">
        <v>384</v>
      </c>
      <c r="C546" t="str">
        <f>IFERROR(VLOOKUP(Таб[[#This Row],[Зелений Тариф ЕЦ]],Sheet6!$H$9:$I$29,2,FALSE),"")</f>
        <v>Дах</v>
      </c>
      <c r="G546" s="1" t="s">
        <v>61</v>
      </c>
      <c r="H546" t="s">
        <v>62</v>
      </c>
      <c r="J546" s="7">
        <v>2.3E-2</v>
      </c>
      <c r="K546" s="8"/>
      <c r="L546" s="8">
        <v>41270</v>
      </c>
      <c r="M546">
        <v>12</v>
      </c>
      <c r="N546" s="49" t="s">
        <v>71</v>
      </c>
      <c r="O546">
        <v>2012</v>
      </c>
      <c r="P546">
        <v>0.42649999999999999</v>
      </c>
      <c r="Q546" s="10"/>
      <c r="R546" s="11">
        <f>ROUND(Таб[[#This Row],[Зелений Тариф ЕЦ]]+Таб[[#This Row],[Зелений Тариф ЕЦ]]*Таб[[#This Row],[% надбавки]],4)</f>
        <v>0.42649999999999999</v>
      </c>
      <c r="S546" s="12"/>
      <c r="T546">
        <v>2E-3</v>
      </c>
      <c r="U546">
        <v>9.9999999999999568E-4</v>
      </c>
      <c r="V546">
        <v>4.3368086899420177E-18</v>
      </c>
      <c r="W546">
        <v>2E-3</v>
      </c>
      <c r="X546">
        <v>3.0000000000000001E-3</v>
      </c>
      <c r="Y546">
        <v>2.9999999999999992E-3</v>
      </c>
      <c r="Z546">
        <v>3.0000000000000009E-3</v>
      </c>
      <c r="AA546">
        <v>3.0000000000000009E-3</v>
      </c>
      <c r="AB546">
        <v>1.9999999999999983E-3</v>
      </c>
      <c r="AC546">
        <v>1.0000000000000009E-3</v>
      </c>
      <c r="AD546">
        <v>0</v>
      </c>
      <c r="AE546">
        <v>0</v>
      </c>
      <c r="AF546">
        <v>0</v>
      </c>
      <c r="AG546">
        <v>0</v>
      </c>
      <c r="AH546">
        <v>1E-3</v>
      </c>
      <c r="AI546">
        <v>3.0000000000000001E-3</v>
      </c>
      <c r="AJ546">
        <v>3.0000000000000001E-3</v>
      </c>
      <c r="AK546">
        <v>3.0000000000000001E-3</v>
      </c>
      <c r="AL546">
        <v>3.0000000000000001E-3</v>
      </c>
      <c r="AM546">
        <v>3.0000000000000001E-3</v>
      </c>
      <c r="AN546">
        <v>2E-3</v>
      </c>
      <c r="AO546">
        <v>1E-3</v>
      </c>
      <c r="AP546">
        <v>0</v>
      </c>
      <c r="AQ546">
        <v>0</v>
      </c>
      <c r="AR546">
        <v>0</v>
      </c>
      <c r="AS546">
        <v>1E-3</v>
      </c>
      <c r="AT546">
        <v>2E-3</v>
      </c>
      <c r="AU546">
        <v>3.0000000000000001E-3</v>
      </c>
      <c r="AV546">
        <v>2E-3</v>
      </c>
      <c r="AW546">
        <v>3.0000000000000001E-3</v>
      </c>
      <c r="AX546">
        <v>3.0000000000000001E-3</v>
      </c>
      <c r="AY546">
        <v>3.0000000000000001E-3</v>
      </c>
      <c r="BD5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0.74062012432134716</v>
      </c>
      <c r="BE5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1.2770810354866631</v>
      </c>
      <c r="BF5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2.1545312707530098</v>
      </c>
      <c r="BG5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3.0623881973404674</v>
      </c>
      <c r="BH5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3.7704297238177666</v>
      </c>
      <c r="BI5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3.9094317412857027</v>
      </c>
      <c r="BJ5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3.9724170304508615</v>
      </c>
      <c r="BK5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3.4337842127626095</v>
      </c>
      <c r="BL5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2.4108162404595173</v>
      </c>
      <c r="BM5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1.5485693508537253</v>
      </c>
      <c r="BN5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0.71672915256904557</v>
      </c>
      <c r="BO5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0.60596191989928405</v>
      </c>
      <c r="BP546">
        <f>SUM(Таб[[#This Row],[1]:[12]])</f>
        <v>27.60276</v>
      </c>
    </row>
    <row r="547" spans="2:68" ht="38.25">
      <c r="B547" t="s">
        <v>384</v>
      </c>
      <c r="C547" t="str">
        <f>IFERROR(VLOOKUP(Таб[[#This Row],[Зелений Тариф ЕЦ]],Sheet6!$H$9:$I$29,2,FALSE),"")</f>
        <v>Дах</v>
      </c>
      <c r="G547" s="1" t="s">
        <v>61</v>
      </c>
      <c r="H547" t="s">
        <v>62</v>
      </c>
      <c r="J547" s="7">
        <v>9.9000000000000005E-2</v>
      </c>
      <c r="K547" s="8"/>
      <c r="L547" s="8">
        <v>41868</v>
      </c>
      <c r="M547">
        <v>8</v>
      </c>
      <c r="N547" s="49" t="s">
        <v>60</v>
      </c>
      <c r="O547">
        <v>2014</v>
      </c>
      <c r="P547">
        <v>0.35870000000000002</v>
      </c>
      <c r="Q547" s="10"/>
      <c r="R547" s="11">
        <f>ROUND(Таб[[#This Row],[Зелений Тариф ЕЦ]]+Таб[[#This Row],[Зелений Тариф ЕЦ]]*Таб[[#This Row],[% надбавки]],4)</f>
        <v>0.35870000000000002</v>
      </c>
      <c r="S547" s="12"/>
      <c r="T547">
        <v>1.2999999999999999E-2</v>
      </c>
      <c r="U547">
        <v>2.8000000000000004E-2</v>
      </c>
      <c r="V547">
        <v>4.7999999999999994E-2</v>
      </c>
      <c r="W547">
        <v>7.3000000000000009E-2</v>
      </c>
      <c r="X547">
        <v>8.3999999999999991E-2</v>
      </c>
      <c r="Y547">
        <v>9.2000000000000026E-2</v>
      </c>
      <c r="Z547">
        <v>8.6999999999999966E-2</v>
      </c>
      <c r="AA547">
        <v>8.500000000000002E-2</v>
      </c>
      <c r="AB547">
        <v>5.5999999999999939E-2</v>
      </c>
      <c r="AC547">
        <v>3.8000000000000034E-2</v>
      </c>
      <c r="AD547">
        <v>1.3000000000000012E-2</v>
      </c>
      <c r="AE547">
        <v>8.0000000000000071E-3</v>
      </c>
      <c r="AF547">
        <v>1.0999999999999999E-2</v>
      </c>
      <c r="AG547">
        <v>5.0000000000000001E-3</v>
      </c>
      <c r="AH547">
        <v>3.3000000000000002E-2</v>
      </c>
      <c r="AI547">
        <v>8.4000000000000005E-2</v>
      </c>
      <c r="AJ547">
        <v>8.8999999999999996E-2</v>
      </c>
      <c r="AK547">
        <v>7.8E-2</v>
      </c>
      <c r="AL547">
        <v>7.8E-2</v>
      </c>
      <c r="AM547">
        <v>8.5000000000000006E-2</v>
      </c>
      <c r="AN547">
        <v>0.06</v>
      </c>
      <c r="AO547">
        <v>4.9000000000000002E-2</v>
      </c>
      <c r="AP547">
        <v>0.01</v>
      </c>
      <c r="AQ547">
        <v>3.0000000000000001E-3</v>
      </c>
      <c r="AR547">
        <v>8.0000000000000002E-3</v>
      </c>
      <c r="AS547">
        <v>2.9000000000000001E-2</v>
      </c>
      <c r="AT547">
        <v>0.05</v>
      </c>
      <c r="AU547">
        <v>7.2999999999999995E-2</v>
      </c>
      <c r="AV547">
        <v>7.3999999999999996E-2</v>
      </c>
      <c r="AW547">
        <v>9.9000000000000005E-2</v>
      </c>
      <c r="AX547">
        <v>9.2999999999999999E-2</v>
      </c>
      <c r="AY547">
        <v>8.4000000000000005E-2</v>
      </c>
      <c r="BD5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3.1878866220788424</v>
      </c>
      <c r="BE5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5.4970009788338983</v>
      </c>
      <c r="BF5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9.2738519915020845</v>
      </c>
      <c r="BG5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13.181583979856793</v>
      </c>
      <c r="BH5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16.229240985128648</v>
      </c>
      <c r="BI5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16.827554016838462</v>
      </c>
      <c r="BJ5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17.098664609331969</v>
      </c>
      <c r="BK5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14.78020161145645</v>
      </c>
      <c r="BL5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10.376991643717052</v>
      </c>
      <c r="BM5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6.6655811188921241</v>
      </c>
      <c r="BN5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3.0850515697537189</v>
      </c>
      <c r="BO5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2.6082708726099617</v>
      </c>
      <c r="BP547">
        <f>SUM(Таб[[#This Row],[1]:[12]])</f>
        <v>118.81188</v>
      </c>
    </row>
    <row r="548" spans="2:68" ht="38.25">
      <c r="B548" t="s">
        <v>384</v>
      </c>
      <c r="C548" t="str">
        <f>IFERROR(VLOOKUP(Таб[[#This Row],[Зелений Тариф ЕЦ]],Sheet6!$H$9:$I$29,2,FALSE),"")</f>
        <v>Дах</v>
      </c>
      <c r="G548" s="1" t="s">
        <v>61</v>
      </c>
      <c r="H548" t="s">
        <v>62</v>
      </c>
      <c r="J548" s="7">
        <v>5.8999999999999997E-2</v>
      </c>
      <c r="K548" s="8"/>
      <c r="L548" s="8">
        <v>41868</v>
      </c>
      <c r="M548">
        <v>8</v>
      </c>
      <c r="N548" s="49" t="s">
        <v>60</v>
      </c>
      <c r="O548">
        <v>2014</v>
      </c>
      <c r="P548">
        <v>0.35870000000000002</v>
      </c>
      <c r="Q548" s="10"/>
      <c r="R548" s="11">
        <f>ROUND(Таб[[#This Row],[Зелений Тариф ЕЦ]]+Таб[[#This Row],[Зелений Тариф ЕЦ]]*Таб[[#This Row],[% надбавки]],4)</f>
        <v>0.35870000000000002</v>
      </c>
      <c r="S548" s="12"/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BD5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1.8998516232591078</v>
      </c>
      <c r="BE5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3.2759904823353532</v>
      </c>
      <c r="BF5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5.5268410858446764</v>
      </c>
      <c r="BG5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7.8556914627429375</v>
      </c>
      <c r="BH5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9.6719719002281845</v>
      </c>
      <c r="BI5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10.028542292863325</v>
      </c>
      <c r="BJ5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10.190113252026123</v>
      </c>
      <c r="BK5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8.8084029805649529</v>
      </c>
      <c r="BL5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6.184267747265717</v>
      </c>
      <c r="BM5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3.9724170304508615</v>
      </c>
      <c r="BN5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1.8385660870249432</v>
      </c>
      <c r="BO5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1.5544240553938156</v>
      </c>
      <c r="BP548">
        <f>SUM(Таб[[#This Row],[1]:[12]])</f>
        <v>70.807079999999985</v>
      </c>
    </row>
    <row r="549" spans="2:68" ht="38.25">
      <c r="B549" t="s">
        <v>384</v>
      </c>
      <c r="C549" t="str">
        <f>IFERROR(VLOOKUP(Таб[[#This Row],[Зелений Тариф ЕЦ]],Sheet6!$H$9:$I$29,2,FALSE),"")</f>
        <v>Дах</v>
      </c>
      <c r="G549" s="1" t="s">
        <v>61</v>
      </c>
      <c r="H549" t="s">
        <v>62</v>
      </c>
      <c r="J549" s="7">
        <v>9.9000000000000005E-2</v>
      </c>
      <c r="K549" s="8"/>
      <c r="L549" s="8">
        <v>41868</v>
      </c>
      <c r="M549">
        <v>8</v>
      </c>
      <c r="N549" s="49" t="s">
        <v>60</v>
      </c>
      <c r="O549">
        <v>2014</v>
      </c>
      <c r="P549">
        <v>0.35870000000000002</v>
      </c>
      <c r="Q549" s="10"/>
      <c r="R549" s="11">
        <f>ROUND(Таб[[#This Row],[Зелений Тариф ЕЦ]]+Таб[[#This Row],[Зелений Тариф ЕЦ]]*Таб[[#This Row],[% надбавки]],4)</f>
        <v>0.35870000000000002</v>
      </c>
      <c r="S549" s="12"/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BD5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3.1878866220788424</v>
      </c>
      <c r="BE5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5.4970009788338983</v>
      </c>
      <c r="BF5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9.2738519915020845</v>
      </c>
      <c r="BG5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13.181583979856793</v>
      </c>
      <c r="BH5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16.229240985128648</v>
      </c>
      <c r="BI5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16.827554016838462</v>
      </c>
      <c r="BJ5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17.098664609331969</v>
      </c>
      <c r="BK5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14.78020161145645</v>
      </c>
      <c r="BL5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10.376991643717052</v>
      </c>
      <c r="BM5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6.6655811188921241</v>
      </c>
      <c r="BN5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3.0850515697537189</v>
      </c>
      <c r="BO5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2.6082708726099617</v>
      </c>
      <c r="BP549">
        <f>SUM(Таб[[#This Row],[1]:[12]])</f>
        <v>118.81188</v>
      </c>
    </row>
    <row r="550" spans="2:68" ht="38.25">
      <c r="B550" t="s">
        <v>384</v>
      </c>
      <c r="C550" t="str">
        <f>IFERROR(VLOOKUP(Таб[[#This Row],[Зелений Тариф ЕЦ]],Sheet6!$H$9:$I$29,2,FALSE),"")</f>
        <v>Дах</v>
      </c>
      <c r="G550" s="1" t="s">
        <v>61</v>
      </c>
      <c r="H550" t="s">
        <v>62</v>
      </c>
      <c r="J550" s="7">
        <v>0.1</v>
      </c>
      <c r="K550" s="8"/>
      <c r="L550" s="8">
        <v>42061</v>
      </c>
      <c r="M550">
        <v>2</v>
      </c>
      <c r="N550" s="49" t="s">
        <v>67</v>
      </c>
      <c r="O550">
        <v>2015</v>
      </c>
      <c r="P550">
        <v>0.35870000000000002</v>
      </c>
      <c r="Q550" s="10"/>
      <c r="R550" s="11">
        <f>ROUND(Таб[[#This Row],[Зелений Тариф ЕЦ]]+Таб[[#This Row],[Зелений Тариф ЕЦ]]*Таб[[#This Row],[% надбавки]],4)</f>
        <v>0.35870000000000002</v>
      </c>
      <c r="S550" s="12"/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BD5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3.2200874970493363</v>
      </c>
      <c r="BE5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5.5525262412463618</v>
      </c>
      <c r="BF5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9.3675272641435203</v>
      </c>
      <c r="BG5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13.314731292784639</v>
      </c>
      <c r="BH5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16.393172712251161</v>
      </c>
      <c r="BI5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16.997529309937839</v>
      </c>
      <c r="BJ5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17.271378393264616</v>
      </c>
      <c r="BK5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14.929496577228736</v>
      </c>
      <c r="BL5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10.481809741128338</v>
      </c>
      <c r="BM5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6.7329102211031557</v>
      </c>
      <c r="BN5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3.116213706821938</v>
      </c>
      <c r="BO5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2.6346170430403655</v>
      </c>
      <c r="BP550">
        <f>SUM(Таб[[#This Row],[1]:[12]])</f>
        <v>120.01199999999999</v>
      </c>
    </row>
    <row r="551" spans="2:68" ht="38.25">
      <c r="B551" t="s">
        <v>384</v>
      </c>
      <c r="C551" t="str">
        <f>IFERROR(VLOOKUP(Таб[[#This Row],[Зелений Тариф ЕЦ]],Sheet6!$H$9:$I$29,2,FALSE),"")</f>
        <v>Дах</v>
      </c>
      <c r="G551" s="1" t="s">
        <v>61</v>
      </c>
      <c r="H551" t="s">
        <v>62</v>
      </c>
      <c r="J551" s="7">
        <v>0.1</v>
      </c>
      <c r="K551" s="8"/>
      <c r="L551" s="8">
        <v>42061</v>
      </c>
      <c r="M551">
        <v>2</v>
      </c>
      <c r="N551" s="49" t="s">
        <v>67</v>
      </c>
      <c r="O551">
        <v>2015</v>
      </c>
      <c r="P551">
        <v>0.35870000000000002</v>
      </c>
      <c r="Q551" s="10"/>
      <c r="R551" s="11">
        <f>ROUND(Таб[[#This Row],[Зелений Тариф ЕЦ]]+Таб[[#This Row],[Зелений Тариф ЕЦ]]*Таб[[#This Row],[% надбавки]],4)</f>
        <v>0.35870000000000002</v>
      </c>
      <c r="S551" s="12"/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BD5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3.2200874970493363</v>
      </c>
      <c r="BE5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5.5525262412463618</v>
      </c>
      <c r="BF5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9.3675272641435203</v>
      </c>
      <c r="BG5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13.314731292784639</v>
      </c>
      <c r="BH5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16.393172712251161</v>
      </c>
      <c r="BI5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16.997529309937839</v>
      </c>
      <c r="BJ5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17.271378393264616</v>
      </c>
      <c r="BK5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14.929496577228736</v>
      </c>
      <c r="BL5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10.481809741128338</v>
      </c>
      <c r="BM5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6.7329102211031557</v>
      </c>
      <c r="BN5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3.116213706821938</v>
      </c>
      <c r="BO5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2.6346170430403655</v>
      </c>
      <c r="BP551">
        <f>SUM(Таб[[#This Row],[1]:[12]])</f>
        <v>120.01199999999999</v>
      </c>
    </row>
    <row r="552" spans="2:68" ht="38.25">
      <c r="B552" t="s">
        <v>384</v>
      </c>
      <c r="C552" t="str">
        <f>IFERROR(VLOOKUP(Таб[[#This Row],[Зелений Тариф ЕЦ]],Sheet6!$H$9:$I$29,2,FALSE),"")</f>
        <v>Дах</v>
      </c>
      <c r="G552" s="1" t="s">
        <v>61</v>
      </c>
      <c r="H552" t="s">
        <v>62</v>
      </c>
      <c r="J552" s="7">
        <v>0.1</v>
      </c>
      <c r="K552" s="8"/>
      <c r="L552" s="8">
        <v>41868</v>
      </c>
      <c r="M552">
        <v>8</v>
      </c>
      <c r="N552" s="49" t="s">
        <v>60</v>
      </c>
      <c r="O552">
        <v>2014</v>
      </c>
      <c r="P552">
        <v>0.35870000000000002</v>
      </c>
      <c r="Q552" s="10"/>
      <c r="R552" s="11">
        <f>ROUND(Таб[[#This Row],[Зелений Тариф ЕЦ]]+Таб[[#This Row],[Зелений Тариф ЕЦ]]*Таб[[#This Row],[% надбавки]],4)</f>
        <v>0.35870000000000002</v>
      </c>
      <c r="S552" s="12"/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BD5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3.2200874970493363</v>
      </c>
      <c r="BE5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5.5525262412463618</v>
      </c>
      <c r="BF5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9.3675272641435203</v>
      </c>
      <c r="BG5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13.314731292784639</v>
      </c>
      <c r="BH5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16.393172712251161</v>
      </c>
      <c r="BI5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16.997529309937839</v>
      </c>
      <c r="BJ5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17.271378393264616</v>
      </c>
      <c r="BK5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14.929496577228736</v>
      </c>
      <c r="BL5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10.481809741128338</v>
      </c>
      <c r="BM5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6.7329102211031557</v>
      </c>
      <c r="BN5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3.116213706821938</v>
      </c>
      <c r="BO5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2.6346170430403655</v>
      </c>
      <c r="BP552">
        <f>SUM(Таб[[#This Row],[1]:[12]])</f>
        <v>120.01199999999999</v>
      </c>
    </row>
    <row r="553" spans="2:68" ht="38.25">
      <c r="B553" t="s">
        <v>384</v>
      </c>
      <c r="C553" t="str">
        <f>IFERROR(VLOOKUP(Таб[[#This Row],[Зелений Тариф ЕЦ]],Sheet6!$H$9:$I$29,2,FALSE),"")</f>
        <v>Дах</v>
      </c>
      <c r="G553" s="1" t="s">
        <v>61</v>
      </c>
      <c r="H553" t="s">
        <v>62</v>
      </c>
      <c r="J553" s="7">
        <v>4.3999999999999997E-2</v>
      </c>
      <c r="K553" s="8"/>
      <c r="L553" s="8">
        <v>41868</v>
      </c>
      <c r="M553">
        <v>8</v>
      </c>
      <c r="N553" s="49" t="s">
        <v>60</v>
      </c>
      <c r="O553">
        <v>2014</v>
      </c>
      <c r="P553">
        <v>0.35870000000000002</v>
      </c>
      <c r="Q553" s="10"/>
      <c r="R553" s="11">
        <f>ROUND(Таб[[#This Row],[Зелений Тариф ЕЦ]]+Таб[[#This Row],[Зелений Тариф ЕЦ]]*Таб[[#This Row],[% надбавки]],4)</f>
        <v>0.35870000000000002</v>
      </c>
      <c r="S553" s="12"/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BD5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1.4168384987017075</v>
      </c>
      <c r="BE5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2.4431115461483985</v>
      </c>
      <c r="BF5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4.1217119962231488</v>
      </c>
      <c r="BG5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5.8584817688252411</v>
      </c>
      <c r="BH5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7.2129959933905106</v>
      </c>
      <c r="BI5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7.4789128963726483</v>
      </c>
      <c r="BJ5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7.5994064930364296</v>
      </c>
      <c r="BK5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6.5689784939806444</v>
      </c>
      <c r="BL5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4.6119962860964678</v>
      </c>
      <c r="BM5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2.9624804972853878</v>
      </c>
      <c r="BN5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1.3711340310016524</v>
      </c>
      <c r="BO5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1.1592314989377606</v>
      </c>
      <c r="BP553">
        <f>SUM(Таб[[#This Row],[1]:[12]])</f>
        <v>52.80528000000001</v>
      </c>
    </row>
    <row r="554" spans="2:68" ht="25.5">
      <c r="B554" t="s">
        <v>384</v>
      </c>
      <c r="C554" t="str">
        <f>IFERROR(VLOOKUP(Таб[[#This Row],[Зелений Тариф ЕЦ]],Sheet6!$H$9:$I$29,2,FALSE),"")</f>
        <v>Дах</v>
      </c>
      <c r="G554" s="1" t="s">
        <v>497</v>
      </c>
      <c r="H554" t="s">
        <v>69</v>
      </c>
      <c r="J554" s="7">
        <v>1.6E-2</v>
      </c>
      <c r="K554" s="8"/>
      <c r="L554" s="8">
        <v>41620</v>
      </c>
      <c r="M554">
        <v>12</v>
      </c>
      <c r="N554" s="49" t="s">
        <v>71</v>
      </c>
      <c r="O554">
        <v>2013</v>
      </c>
      <c r="P554">
        <v>0.35870000000000002</v>
      </c>
      <c r="Q554" s="10"/>
      <c r="R554" s="11">
        <f>ROUND(Таб[[#This Row],[Зелений Тариф ЕЦ]]+Таб[[#This Row],[Зелений Тариф ЕЦ]]*Таб[[#This Row],[% надбавки]],4)</f>
        <v>0.35870000000000002</v>
      </c>
      <c r="S554" s="12"/>
      <c r="T554">
        <v>2E-3</v>
      </c>
      <c r="U554">
        <v>3.0000000000000001E-3</v>
      </c>
      <c r="V554">
        <v>5.0000000000000001E-3</v>
      </c>
      <c r="W554">
        <v>6.0000000000000001E-3</v>
      </c>
      <c r="X554">
        <v>8.0000000000000002E-3</v>
      </c>
      <c r="Y554">
        <v>8.0000000000000002E-3</v>
      </c>
      <c r="Z554">
        <v>6.9999999999999993E-3</v>
      </c>
      <c r="AA554">
        <v>6.9999999999999993E-3</v>
      </c>
      <c r="AB554">
        <v>5.9999999999999984E-3</v>
      </c>
      <c r="AC554">
        <v>3.0000000000000027E-3</v>
      </c>
      <c r="AD554">
        <v>3.0000000000000027E-3</v>
      </c>
      <c r="AE554">
        <v>9.9999999999999395E-4</v>
      </c>
      <c r="AF554">
        <v>2E-3</v>
      </c>
      <c r="AG554">
        <v>2E-3</v>
      </c>
      <c r="AH554">
        <v>4.0000000000000001E-3</v>
      </c>
      <c r="AI554">
        <v>7.0000000000000001E-3</v>
      </c>
      <c r="AJ554">
        <v>7.0000000000000001E-3</v>
      </c>
      <c r="AK554">
        <v>8.0000000000000002E-3</v>
      </c>
      <c r="AL554">
        <v>7.0000000000000001E-3</v>
      </c>
      <c r="AM554">
        <v>7.0000000000000001E-3</v>
      </c>
      <c r="AN554">
        <v>5.0000000000000001E-3</v>
      </c>
      <c r="AO554">
        <v>5.0000000000000001E-3</v>
      </c>
      <c r="AP554">
        <v>2E-3</v>
      </c>
      <c r="AQ554">
        <v>1E-3</v>
      </c>
      <c r="AR554">
        <v>1E-3</v>
      </c>
      <c r="AS554">
        <v>3.0000000000000001E-3</v>
      </c>
      <c r="AT554">
        <v>6.0000000000000001E-3</v>
      </c>
      <c r="AU554">
        <v>7.0000000000000001E-3</v>
      </c>
      <c r="AV554">
        <v>7.0000000000000001E-3</v>
      </c>
      <c r="AW554">
        <v>6.0000000000000001E-3</v>
      </c>
      <c r="AX554">
        <v>0</v>
      </c>
      <c r="AY554">
        <v>2E-3</v>
      </c>
      <c r="BD5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0.51521399952789371</v>
      </c>
      <c r="BE5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0.88840419859941777</v>
      </c>
      <c r="BF5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1.4988043622629632</v>
      </c>
      <c r="BG5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2.1303570068455429</v>
      </c>
      <c r="BH5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2.6229076339601853</v>
      </c>
      <c r="BI5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2.7196046895900547</v>
      </c>
      <c r="BJ5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2.7634205429223382</v>
      </c>
      <c r="BK5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2.388719452356598</v>
      </c>
      <c r="BL5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1.6770895585805339</v>
      </c>
      <c r="BM5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1.0772656353765049</v>
      </c>
      <c r="BN5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0.4985941930915101</v>
      </c>
      <c r="BO5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0.42153872688645838</v>
      </c>
      <c r="BP554">
        <f>SUM(Таб[[#This Row],[1]:[12]])</f>
        <v>19.201920000000001</v>
      </c>
    </row>
    <row r="555" spans="2:68" ht="25.5">
      <c r="B555" t="s">
        <v>384</v>
      </c>
      <c r="C555" t="str">
        <f>IFERROR(VLOOKUP(Таб[[#This Row],[Зелений Тариф ЕЦ]],Sheet6!$H$9:$I$29,2,FALSE),"")</f>
        <v>Дах</v>
      </c>
      <c r="G555" s="1" t="s">
        <v>497</v>
      </c>
      <c r="H555" t="s">
        <v>69</v>
      </c>
      <c r="J555" s="7">
        <v>1.6E-2</v>
      </c>
      <c r="K555" s="8"/>
      <c r="L555" s="8">
        <v>41620</v>
      </c>
      <c r="M555">
        <v>12</v>
      </c>
      <c r="N555" s="49" t="s">
        <v>71</v>
      </c>
      <c r="O555">
        <v>2013</v>
      </c>
      <c r="P555">
        <v>0.35870000000000002</v>
      </c>
      <c r="Q555" s="10"/>
      <c r="R555" s="11">
        <f>ROUND(Таб[[#This Row],[Зелений Тариф ЕЦ]]+Таб[[#This Row],[Зелений Тариф ЕЦ]]*Таб[[#This Row],[% надбавки]],4)</f>
        <v>0.35870000000000002</v>
      </c>
      <c r="S555" s="12"/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BD5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0.51521399952789371</v>
      </c>
      <c r="BE5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0.88840419859941777</v>
      </c>
      <c r="BF5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1.4988043622629632</v>
      </c>
      <c r="BG5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2.1303570068455429</v>
      </c>
      <c r="BH5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2.6229076339601853</v>
      </c>
      <c r="BI5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2.7196046895900547</v>
      </c>
      <c r="BJ5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2.7634205429223382</v>
      </c>
      <c r="BK5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2.388719452356598</v>
      </c>
      <c r="BL5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1.6770895585805339</v>
      </c>
      <c r="BM5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1.0772656353765049</v>
      </c>
      <c r="BN5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0.4985941930915101</v>
      </c>
      <c r="BO5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0.42153872688645838</v>
      </c>
      <c r="BP555">
        <f>SUM(Таб[[#This Row],[1]:[12]])</f>
        <v>19.201920000000001</v>
      </c>
    </row>
    <row r="556" spans="2:68" ht="25.5">
      <c r="B556" t="s">
        <v>384</v>
      </c>
      <c r="C556" t="str">
        <f>IFERROR(VLOOKUP(Таб[[#This Row],[Зелений Тариф ЕЦ]],Sheet6!$H$9:$I$29,2,FALSE),"")</f>
        <v>Дах</v>
      </c>
      <c r="G556" s="1" t="s">
        <v>497</v>
      </c>
      <c r="H556" t="s">
        <v>69</v>
      </c>
      <c r="J556" s="7">
        <v>1.6E-2</v>
      </c>
      <c r="K556" s="8"/>
      <c r="L556" s="8">
        <v>41620</v>
      </c>
      <c r="M556">
        <v>12</v>
      </c>
      <c r="N556" s="49" t="s">
        <v>71</v>
      </c>
      <c r="O556">
        <v>2013</v>
      </c>
      <c r="P556">
        <v>0.35870000000000002</v>
      </c>
      <c r="Q556" s="10"/>
      <c r="R556" s="11">
        <f>ROUND(Таб[[#This Row],[Зелений Тариф ЕЦ]]+Таб[[#This Row],[Зелений Тариф ЕЦ]]*Таб[[#This Row],[% надбавки]],4)</f>
        <v>0.35870000000000002</v>
      </c>
      <c r="S556" s="12"/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BD5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0.51521399952789371</v>
      </c>
      <c r="BE5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0.88840419859941777</v>
      </c>
      <c r="BF5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1.4988043622629632</v>
      </c>
      <c r="BG5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2.1303570068455429</v>
      </c>
      <c r="BH5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2.6229076339601853</v>
      </c>
      <c r="BI5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2.7196046895900547</v>
      </c>
      <c r="BJ5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2.7634205429223382</v>
      </c>
      <c r="BK5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2.388719452356598</v>
      </c>
      <c r="BL5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1.6770895585805339</v>
      </c>
      <c r="BM5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1.0772656353765049</v>
      </c>
      <c r="BN5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0.4985941930915101</v>
      </c>
      <c r="BO5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0.42153872688645838</v>
      </c>
      <c r="BP556">
        <f>SUM(Таб[[#This Row],[1]:[12]])</f>
        <v>19.201920000000001</v>
      </c>
    </row>
    <row r="557" spans="2:68" ht="51">
      <c r="B557" t="s">
        <v>384</v>
      </c>
      <c r="C557" t="str">
        <f>IFERROR(VLOOKUP(Таб[[#This Row],[Зелений Тариф ЕЦ]],Sheet6!$H$9:$I$29,2,FALSE),"")</f>
        <v>Дах</v>
      </c>
      <c r="G557" s="1" t="s">
        <v>1436</v>
      </c>
      <c r="H557" t="s">
        <v>198</v>
      </c>
      <c r="J557" s="7">
        <v>3.5000000000000003E-2</v>
      </c>
      <c r="K557" s="8"/>
      <c r="L557" s="8">
        <v>40544</v>
      </c>
      <c r="M557">
        <v>1</v>
      </c>
      <c r="N557" s="49" t="s">
        <v>67</v>
      </c>
      <c r="O557">
        <v>2011</v>
      </c>
      <c r="P557">
        <v>0.42649999999999999</v>
      </c>
      <c r="Q557" s="10"/>
      <c r="R557" s="11">
        <f>ROUND(Таб[[#This Row],[Зелений Тариф ЕЦ]]+Таб[[#This Row],[Зелений Тариф ЕЦ]]*Таб[[#This Row],[% надбавки]],4)</f>
        <v>0.42649999999999999</v>
      </c>
      <c r="S557" s="12"/>
      <c r="T557">
        <v>1E-3</v>
      </c>
      <c r="U557">
        <v>1E-3</v>
      </c>
      <c r="V557">
        <v>2E-3</v>
      </c>
      <c r="W557">
        <v>4.0000000000000001E-3</v>
      </c>
      <c r="X557">
        <v>4.0000000000000001E-3</v>
      </c>
      <c r="Y557">
        <v>4.0000000000000001E-3</v>
      </c>
      <c r="Z557">
        <v>5.9999999999999984E-3</v>
      </c>
      <c r="AA557">
        <v>5.000000000000001E-3</v>
      </c>
      <c r="AB557">
        <v>2.9999999999999992E-3</v>
      </c>
      <c r="AC557">
        <v>2.0000000000000018E-3</v>
      </c>
      <c r="AD557">
        <v>0</v>
      </c>
      <c r="AE557">
        <v>1.0000000000000009E-3</v>
      </c>
      <c r="AF557">
        <v>1E-3</v>
      </c>
      <c r="AG557">
        <v>1E-3</v>
      </c>
      <c r="AH557">
        <v>2E-3</v>
      </c>
      <c r="AI557">
        <v>4.0000000000000001E-3</v>
      </c>
      <c r="AJ557">
        <v>5.0000000000000001E-3</v>
      </c>
      <c r="AK557">
        <v>4.0000000000000001E-3</v>
      </c>
      <c r="AL557">
        <v>4.0000000000000001E-3</v>
      </c>
      <c r="AM557">
        <v>5.0000000000000001E-3</v>
      </c>
      <c r="AN557">
        <v>3.0000000000000001E-3</v>
      </c>
      <c r="AO557">
        <v>3.0000000000000001E-3</v>
      </c>
      <c r="AP557">
        <v>1E-3</v>
      </c>
      <c r="AQ557">
        <v>0</v>
      </c>
      <c r="AR557">
        <v>0</v>
      </c>
      <c r="AS557">
        <v>1E-3</v>
      </c>
      <c r="AT557">
        <v>2E-3</v>
      </c>
      <c r="AU557">
        <v>4.0000000000000001E-3</v>
      </c>
      <c r="AV557">
        <v>3.0000000000000001E-3</v>
      </c>
      <c r="AW557">
        <v>5.0000000000000001E-3</v>
      </c>
      <c r="AX557">
        <v>4.0000000000000001E-3</v>
      </c>
      <c r="AY557">
        <v>4.0000000000000001E-3</v>
      </c>
      <c r="BD5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1.1270306239672676</v>
      </c>
      <c r="BE5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1.9433841844362265</v>
      </c>
      <c r="BF5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3.2786345424502321</v>
      </c>
      <c r="BG5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4.660155952474625</v>
      </c>
      <c r="BH5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5.7376104492879065</v>
      </c>
      <c r="BI5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5.9491352584782451</v>
      </c>
      <c r="BJ5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6.0449824376426164</v>
      </c>
      <c r="BK5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5.2253238020300579</v>
      </c>
      <c r="BL5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3.6686334093949182</v>
      </c>
      <c r="BM5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2.3565185773861046</v>
      </c>
      <c r="BN5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1.0906747973876783</v>
      </c>
      <c r="BO5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0.92211596506412796</v>
      </c>
      <c r="BP557">
        <f>SUM(Таб[[#This Row],[1]:[12]])</f>
        <v>42.004200000000004</v>
      </c>
    </row>
    <row r="558" spans="2:68" ht="38.25">
      <c r="B558" t="s">
        <v>384</v>
      </c>
      <c r="C558" t="str">
        <f>IFERROR(VLOOKUP(Таб[[#This Row],[Зелений Тариф ЕЦ]],Sheet6!$H$9:$I$29,2,FALSE),"")</f>
        <v>Дах</v>
      </c>
      <c r="G558" s="1" t="s">
        <v>1439</v>
      </c>
      <c r="H558" t="s">
        <v>122</v>
      </c>
      <c r="J558" s="7">
        <v>7.4999999999999997E-2</v>
      </c>
      <c r="K558" s="8"/>
      <c r="L558" s="8">
        <v>41109</v>
      </c>
      <c r="M558">
        <v>7</v>
      </c>
      <c r="N558" s="49" t="s">
        <v>60</v>
      </c>
      <c r="O558">
        <v>2012</v>
      </c>
      <c r="P558">
        <v>0.42649999999999999</v>
      </c>
      <c r="Q558" s="10"/>
      <c r="R558" s="11">
        <f>ROUND(Таб[[#This Row],[Зелений Тариф ЕЦ]]+Таб[[#This Row],[Зелений Тариф ЕЦ]]*Таб[[#This Row],[% надбавки]],4)</f>
        <v>0.42649999999999999</v>
      </c>
      <c r="S558" s="12"/>
      <c r="T558">
        <v>2E-3</v>
      </c>
      <c r="U558">
        <v>3.0000000000000001E-3</v>
      </c>
      <c r="V558">
        <v>7.0000000000000001E-3</v>
      </c>
      <c r="W558">
        <v>9.0000000000000011E-3</v>
      </c>
      <c r="X558">
        <v>1.0999999999999999E-2</v>
      </c>
      <c r="Y558">
        <v>1.0999999999999996E-2</v>
      </c>
      <c r="Z558">
        <v>1.1000000000000003E-2</v>
      </c>
      <c r="AA558">
        <v>1.0000000000000002E-2</v>
      </c>
      <c r="AB558">
        <v>8.9999999999999941E-3</v>
      </c>
      <c r="AC558">
        <v>4.0000000000000036E-3</v>
      </c>
      <c r="AD558">
        <v>1.0000000000000009E-3</v>
      </c>
      <c r="AE558">
        <v>1.0000000000000009E-3</v>
      </c>
      <c r="AF558">
        <v>1E-3</v>
      </c>
      <c r="AG558">
        <v>3.0000000000000001E-3</v>
      </c>
      <c r="AH558">
        <v>5.0000000000000001E-3</v>
      </c>
      <c r="AI558">
        <v>0.01</v>
      </c>
      <c r="AJ558">
        <v>1.2E-2</v>
      </c>
      <c r="AK558">
        <v>1.2E-2</v>
      </c>
      <c r="AL558">
        <v>1.0999999999999999E-2</v>
      </c>
      <c r="AM558">
        <v>1.2E-2</v>
      </c>
      <c r="AN558">
        <v>7.0000000000000001E-3</v>
      </c>
      <c r="AO558">
        <v>6.0000000000000001E-3</v>
      </c>
      <c r="AP558">
        <v>3.0000000000000001E-3</v>
      </c>
      <c r="AQ558">
        <v>1E-3</v>
      </c>
      <c r="AR558">
        <v>1E-3</v>
      </c>
      <c r="AS558">
        <v>3.0000000000000001E-3</v>
      </c>
      <c r="AT558">
        <v>7.0000000000000001E-3</v>
      </c>
      <c r="AU558">
        <v>8.9999999999999993E-3</v>
      </c>
      <c r="AV558">
        <v>0.01</v>
      </c>
      <c r="AW558">
        <v>1.2E-2</v>
      </c>
      <c r="AX558">
        <v>1.0999999999999999E-2</v>
      </c>
      <c r="AY558">
        <v>1.0999999999999999E-2</v>
      </c>
      <c r="BD5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2.4150656227870018</v>
      </c>
      <c r="BE5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4.1643946809347705</v>
      </c>
      <c r="BF5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7.0256454481076407</v>
      </c>
      <c r="BG5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9.9860484695884804</v>
      </c>
      <c r="BH5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12.294879534188368</v>
      </c>
      <c r="BI5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12.748146982453379</v>
      </c>
      <c r="BJ5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12.953533794948463</v>
      </c>
      <c r="BK5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11.197122432921553</v>
      </c>
      <c r="BL5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7.8613573058462514</v>
      </c>
      <c r="BM5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5.0496826658273664</v>
      </c>
      <c r="BN5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2.337160280116453</v>
      </c>
      <c r="BO5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1.9759627822802739</v>
      </c>
      <c r="BP558">
        <f>SUM(Таб[[#This Row],[1]:[12]])</f>
        <v>90.009</v>
      </c>
    </row>
    <row r="559" spans="2:68" ht="51">
      <c r="B559" t="s">
        <v>384</v>
      </c>
      <c r="C559" t="str">
        <f>IFERROR(VLOOKUP(Таб[[#This Row],[Зелений Тариф ЕЦ]],Sheet6!$H$9:$I$29,2,FALSE),"")</f>
        <v>Дах</v>
      </c>
      <c r="G559" s="1" t="s">
        <v>1442</v>
      </c>
      <c r="H559" t="s">
        <v>69</v>
      </c>
      <c r="J559" s="7">
        <v>1.6E-2</v>
      </c>
      <c r="K559" s="8"/>
      <c r="L559" s="8">
        <v>41620</v>
      </c>
      <c r="M559">
        <v>12</v>
      </c>
      <c r="N559" s="49" t="s">
        <v>71</v>
      </c>
      <c r="O559">
        <v>2013</v>
      </c>
      <c r="P559">
        <v>0.35870000000000002</v>
      </c>
      <c r="Q559" s="10"/>
      <c r="R559" s="11">
        <f>ROUND(Таб[[#This Row],[Зелений Тариф ЕЦ]]+Таб[[#This Row],[Зелений Тариф ЕЦ]]*Таб[[#This Row],[% надбавки]],4)</f>
        <v>0.35870000000000002</v>
      </c>
      <c r="S559" s="12"/>
      <c r="T559">
        <v>1E-3</v>
      </c>
      <c r="U559">
        <v>1E-3</v>
      </c>
      <c r="V559">
        <v>1E-3</v>
      </c>
      <c r="W559">
        <v>2E-3</v>
      </c>
      <c r="X559">
        <v>3.0000000000000001E-3</v>
      </c>
      <c r="Y559">
        <v>2.9999999999999992E-3</v>
      </c>
      <c r="Z559">
        <v>2E-3</v>
      </c>
      <c r="AA559">
        <v>3.0000000000000009E-3</v>
      </c>
      <c r="AB559">
        <v>1.9999999999999983E-3</v>
      </c>
      <c r="AC559">
        <v>1.0000000000000009E-3</v>
      </c>
      <c r="AD559">
        <v>0</v>
      </c>
      <c r="AE559">
        <v>0</v>
      </c>
      <c r="AF559">
        <v>0</v>
      </c>
      <c r="AG559">
        <v>1E-3</v>
      </c>
      <c r="AH559">
        <v>1E-3</v>
      </c>
      <c r="AI559">
        <v>2E-3</v>
      </c>
      <c r="AJ559">
        <v>3.0000000000000001E-3</v>
      </c>
      <c r="AK559">
        <v>3.0000000000000001E-3</v>
      </c>
      <c r="AL559">
        <v>2E-3</v>
      </c>
      <c r="AM559">
        <v>3.0000000000000001E-3</v>
      </c>
      <c r="AN559">
        <v>2E-3</v>
      </c>
      <c r="AO559">
        <v>2E-3</v>
      </c>
      <c r="AP559">
        <v>1E-3</v>
      </c>
      <c r="AQ559">
        <v>0</v>
      </c>
      <c r="AR559">
        <v>0</v>
      </c>
      <c r="AS559">
        <v>1E-3</v>
      </c>
      <c r="AT559">
        <v>2E-3</v>
      </c>
      <c r="AU559">
        <v>2E-3</v>
      </c>
      <c r="AV559">
        <v>2E-3</v>
      </c>
      <c r="AW559">
        <v>3.0000000000000001E-3</v>
      </c>
      <c r="AX559">
        <v>0</v>
      </c>
      <c r="AY559">
        <v>0</v>
      </c>
      <c r="BD5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0.51521399952789371</v>
      </c>
      <c r="BE5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0.88840419859941777</v>
      </c>
      <c r="BF5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1.4988043622629632</v>
      </c>
      <c r="BG5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2.1303570068455429</v>
      </c>
      <c r="BH5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2.6229076339601853</v>
      </c>
      <c r="BI5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2.7196046895900547</v>
      </c>
      <c r="BJ5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2.7634205429223382</v>
      </c>
      <c r="BK5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2.388719452356598</v>
      </c>
      <c r="BL5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1.6770895585805339</v>
      </c>
      <c r="BM5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1.0772656353765049</v>
      </c>
      <c r="BN5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0.4985941930915101</v>
      </c>
      <c r="BO5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0.42153872688645838</v>
      </c>
      <c r="BP559">
        <f>SUM(Таб[[#This Row],[1]:[12]])</f>
        <v>19.201920000000001</v>
      </c>
    </row>
    <row r="560" spans="2:68" ht="51">
      <c r="B560" t="s">
        <v>384</v>
      </c>
      <c r="C560" t="str">
        <f>IFERROR(VLOOKUP(Таб[[#This Row],[Зелений Тариф ЕЦ]],Sheet6!$H$9:$I$29,2,FALSE),"")</f>
        <v>Дах</v>
      </c>
      <c r="G560" s="1" t="s">
        <v>1445</v>
      </c>
      <c r="H560" t="s">
        <v>185</v>
      </c>
      <c r="J560" s="7">
        <v>0.1</v>
      </c>
      <c r="K560" s="8"/>
      <c r="L560" s="8">
        <v>41868</v>
      </c>
      <c r="M560">
        <v>8</v>
      </c>
      <c r="N560" s="49" t="s">
        <v>60</v>
      </c>
      <c r="O560">
        <v>2014</v>
      </c>
      <c r="P560">
        <v>0.35870000000000002</v>
      </c>
      <c r="Q560" s="10"/>
      <c r="R560" s="11">
        <f>ROUND(Таб[[#This Row],[Зелений Тариф ЕЦ]]+Таб[[#This Row],[Зелений Тариф ЕЦ]]*Таб[[#This Row],[% надбавки]],4)</f>
        <v>0.35870000000000002</v>
      </c>
      <c r="S560" s="12"/>
      <c r="T560">
        <v>2E-3</v>
      </c>
      <c r="U560">
        <v>4.0000000000000001E-3</v>
      </c>
      <c r="V560">
        <v>8.9999999999999993E-3</v>
      </c>
      <c r="W560">
        <v>1.2E-2</v>
      </c>
      <c r="X560">
        <v>1.5000000000000003E-2</v>
      </c>
      <c r="Y560">
        <v>1.6E-2</v>
      </c>
      <c r="Z560">
        <v>1.5999999999999993E-2</v>
      </c>
      <c r="AA560">
        <v>1.6E-2</v>
      </c>
      <c r="AB560">
        <v>1.2999999999999998E-2</v>
      </c>
      <c r="AC560">
        <v>6.0000000000000053E-3</v>
      </c>
      <c r="AD560">
        <v>2.0000000000000018E-3</v>
      </c>
      <c r="AE560">
        <v>1.0000000000000009E-3</v>
      </c>
      <c r="AF560">
        <v>2E-3</v>
      </c>
      <c r="AG560">
        <v>5.0000000000000001E-3</v>
      </c>
      <c r="AH560">
        <v>8.9999999999999993E-3</v>
      </c>
      <c r="AI560">
        <v>1.4999999999999999E-2</v>
      </c>
      <c r="AJ560">
        <v>1.6E-2</v>
      </c>
      <c r="AK560">
        <v>1.7000000000000001E-2</v>
      </c>
      <c r="AL560">
        <v>1.6E-2</v>
      </c>
      <c r="AM560">
        <v>1.7999999999999999E-2</v>
      </c>
      <c r="AN560">
        <v>1.2E-2</v>
      </c>
      <c r="AO560">
        <v>0.01</v>
      </c>
      <c r="AP560">
        <v>5.0000000000000001E-3</v>
      </c>
      <c r="AQ560">
        <v>1E-3</v>
      </c>
      <c r="AR560">
        <v>2E-3</v>
      </c>
      <c r="AS560">
        <v>5.0000000000000001E-3</v>
      </c>
      <c r="AT560">
        <v>0.01</v>
      </c>
      <c r="AU560">
        <v>1.4E-2</v>
      </c>
      <c r="AV560">
        <v>1.6E-2</v>
      </c>
      <c r="AW560">
        <v>1.7000000000000001E-2</v>
      </c>
      <c r="AX560">
        <v>1.7000000000000001E-2</v>
      </c>
      <c r="AY560">
        <v>1.6E-2</v>
      </c>
      <c r="BD5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3.2200874970493363</v>
      </c>
      <c r="BE5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5.5525262412463618</v>
      </c>
      <c r="BF5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9.3675272641435203</v>
      </c>
      <c r="BG5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13.314731292784639</v>
      </c>
      <c r="BH5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16.393172712251161</v>
      </c>
      <c r="BI5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16.997529309937839</v>
      </c>
      <c r="BJ5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17.271378393264616</v>
      </c>
      <c r="BK5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14.929496577228736</v>
      </c>
      <c r="BL5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10.481809741128338</v>
      </c>
      <c r="BM5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6.7329102211031557</v>
      </c>
      <c r="BN5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3.116213706821938</v>
      </c>
      <c r="BO5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2.6346170430403655</v>
      </c>
      <c r="BP560">
        <f>SUM(Таб[[#This Row],[1]:[12]])</f>
        <v>120.01199999999999</v>
      </c>
    </row>
    <row r="561" spans="2:68" ht="51">
      <c r="B561" t="s">
        <v>384</v>
      </c>
      <c r="C561" t="str">
        <f>IFERROR(VLOOKUP(Таб[[#This Row],[Зелений Тариф ЕЦ]],Sheet6!$H$9:$I$29,2,FALSE),"")</f>
        <v>Дах</v>
      </c>
      <c r="G561" s="1" t="s">
        <v>1448</v>
      </c>
      <c r="H561" t="s">
        <v>101</v>
      </c>
      <c r="J561" s="7">
        <v>1.6E-2</v>
      </c>
      <c r="K561" s="8"/>
      <c r="L561" s="8">
        <v>41620</v>
      </c>
      <c r="M561">
        <v>12</v>
      </c>
      <c r="N561" s="49" t="s">
        <v>71</v>
      </c>
      <c r="O561">
        <v>2013</v>
      </c>
      <c r="P561">
        <v>0.35870000000000002</v>
      </c>
      <c r="Q561" s="10"/>
      <c r="R561" s="11">
        <f>ROUND(Таб[[#This Row],[Зелений Тариф ЕЦ]]+Таб[[#This Row],[Зелений Тариф ЕЦ]]*Таб[[#This Row],[% надбавки]],4)</f>
        <v>0.35870000000000002</v>
      </c>
      <c r="S561" s="12"/>
      <c r="T561">
        <v>1E-3</v>
      </c>
      <c r="U561">
        <v>1E-3</v>
      </c>
      <c r="V561">
        <v>1E-3</v>
      </c>
      <c r="W561">
        <v>3.0000000000000001E-3</v>
      </c>
      <c r="X561">
        <v>2E-3</v>
      </c>
      <c r="Y561">
        <v>2.9999999999999992E-3</v>
      </c>
      <c r="Z561">
        <v>2E-3</v>
      </c>
      <c r="AA561">
        <v>3.0000000000000009E-3</v>
      </c>
      <c r="AB561">
        <v>1.9999999999999983E-3</v>
      </c>
      <c r="AC561">
        <v>1.0000000000000009E-3</v>
      </c>
      <c r="AD561">
        <v>0</v>
      </c>
      <c r="AE561">
        <v>1.0000000000000009E-3</v>
      </c>
      <c r="AF561">
        <v>1E-3</v>
      </c>
      <c r="AG561">
        <v>1E-3</v>
      </c>
      <c r="AH561">
        <v>1E-3</v>
      </c>
      <c r="AI561">
        <v>2E-3</v>
      </c>
      <c r="AJ561">
        <v>3.0000000000000001E-3</v>
      </c>
      <c r="AK561">
        <v>2E-3</v>
      </c>
      <c r="AL561">
        <v>2E-3</v>
      </c>
      <c r="AM561">
        <v>3.0000000000000001E-3</v>
      </c>
      <c r="AN561">
        <v>2E-3</v>
      </c>
      <c r="AO561">
        <v>2E-3</v>
      </c>
      <c r="AP561">
        <v>1E-3</v>
      </c>
      <c r="AQ561">
        <v>0</v>
      </c>
      <c r="AR561">
        <v>0</v>
      </c>
      <c r="AS561">
        <v>2E-3</v>
      </c>
      <c r="AT561">
        <v>2E-3</v>
      </c>
      <c r="AU561">
        <v>2E-3</v>
      </c>
      <c r="AV561">
        <v>2E-3</v>
      </c>
      <c r="AW561">
        <v>2E-3</v>
      </c>
      <c r="AX561">
        <v>0</v>
      </c>
      <c r="AY561">
        <v>0</v>
      </c>
      <c r="BD5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0.51521399952789371</v>
      </c>
      <c r="BE5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0.88840419859941777</v>
      </c>
      <c r="BF5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1.4988043622629632</v>
      </c>
      <c r="BG5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2.1303570068455429</v>
      </c>
      <c r="BH5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2.6229076339601853</v>
      </c>
      <c r="BI5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2.7196046895900547</v>
      </c>
      <c r="BJ5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2.7634205429223382</v>
      </c>
      <c r="BK5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2.388719452356598</v>
      </c>
      <c r="BL5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1.6770895585805339</v>
      </c>
      <c r="BM5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1.0772656353765049</v>
      </c>
      <c r="BN5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0.4985941930915101</v>
      </c>
      <c r="BO5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0.42153872688645838</v>
      </c>
      <c r="BP561">
        <f>SUM(Таб[[#This Row],[1]:[12]])</f>
        <v>19.201920000000001</v>
      </c>
    </row>
    <row r="562" spans="2:68" ht="51">
      <c r="B562" t="s">
        <v>384</v>
      </c>
      <c r="C562" t="str">
        <f>IFERROR(VLOOKUP(Таб[[#This Row],[Зелений Тариф ЕЦ]],Sheet6!$H$9:$I$29,2,FALSE),"")</f>
        <v>Дах</v>
      </c>
      <c r="G562" s="1" t="s">
        <v>1451</v>
      </c>
      <c r="H562" t="s">
        <v>69</v>
      </c>
      <c r="J562" s="7">
        <v>3.2000000000000001E-2</v>
      </c>
      <c r="K562" s="8"/>
      <c r="L562" s="8">
        <v>41746</v>
      </c>
      <c r="M562">
        <v>4</v>
      </c>
      <c r="N562" s="49" t="s">
        <v>57</v>
      </c>
      <c r="O562">
        <v>2014</v>
      </c>
      <c r="P562">
        <v>0.35870000000000002</v>
      </c>
      <c r="Q562" s="10"/>
      <c r="R562" s="11">
        <f>ROUND(Таб[[#This Row],[Зелений Тариф ЕЦ]]+Таб[[#This Row],[Зелений Тариф ЕЦ]]*Таб[[#This Row],[% надбавки]],4)</f>
        <v>0.35870000000000002</v>
      </c>
      <c r="S562" s="12"/>
      <c r="T562">
        <v>1E-3</v>
      </c>
      <c r="U562">
        <v>1E-3</v>
      </c>
      <c r="V562">
        <v>4.0000000000000001E-3</v>
      </c>
      <c r="W562">
        <v>2.9999999999999992E-3</v>
      </c>
      <c r="X562">
        <v>6.0000000000000001E-3</v>
      </c>
      <c r="Y562">
        <v>5.000000000000001E-3</v>
      </c>
      <c r="Z562">
        <v>5.000000000000001E-3</v>
      </c>
      <c r="AA562">
        <v>4.0000000000000001E-3</v>
      </c>
      <c r="AB562">
        <v>4.0000000000000001E-3</v>
      </c>
      <c r="AC562">
        <v>2.0000000000000018E-3</v>
      </c>
      <c r="AD562">
        <v>9.9999999999999395E-4</v>
      </c>
      <c r="AE562">
        <v>1.0000000000000009E-3</v>
      </c>
      <c r="AF562">
        <v>0</v>
      </c>
      <c r="AG562">
        <v>1E-3</v>
      </c>
      <c r="AH562">
        <v>2E-3</v>
      </c>
      <c r="AI562">
        <v>4.0000000000000001E-3</v>
      </c>
      <c r="AJ562">
        <v>5.0000000000000001E-3</v>
      </c>
      <c r="AK562">
        <v>5.0000000000000001E-3</v>
      </c>
      <c r="AL562">
        <v>4.0000000000000001E-3</v>
      </c>
      <c r="AM562">
        <v>5.0000000000000001E-3</v>
      </c>
      <c r="AN562">
        <v>3.0000000000000001E-3</v>
      </c>
      <c r="AO562">
        <v>3.0000000000000001E-3</v>
      </c>
      <c r="AP562">
        <v>1E-3</v>
      </c>
      <c r="AQ562">
        <v>0</v>
      </c>
      <c r="AR562">
        <v>1E-3</v>
      </c>
      <c r="AS562">
        <v>2E-3</v>
      </c>
      <c r="AT562">
        <v>3.0000000000000001E-3</v>
      </c>
      <c r="AU562">
        <v>4.0000000000000001E-3</v>
      </c>
      <c r="AV562">
        <v>5.0000000000000001E-3</v>
      </c>
      <c r="AW562">
        <v>5.0000000000000001E-3</v>
      </c>
      <c r="AX562">
        <v>5.0000000000000001E-3</v>
      </c>
      <c r="AY562">
        <v>5.0000000000000001E-3</v>
      </c>
      <c r="BD5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1.0304279990557874</v>
      </c>
      <c r="BE5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1.7768083971988355</v>
      </c>
      <c r="BF5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2.9976087245259264</v>
      </c>
      <c r="BG5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4.2607140136910857</v>
      </c>
      <c r="BH5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5.2458152679203707</v>
      </c>
      <c r="BI5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5.4392093791801095</v>
      </c>
      <c r="BJ5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5.5268410858446764</v>
      </c>
      <c r="BK5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4.777438904713196</v>
      </c>
      <c r="BL5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3.3541791171610678</v>
      </c>
      <c r="BM5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2.1545312707530098</v>
      </c>
      <c r="BN5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0.99718838618302019</v>
      </c>
      <c r="BO5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0.84307745377291676</v>
      </c>
      <c r="BP562">
        <f>SUM(Таб[[#This Row],[1]:[12]])</f>
        <v>38.403840000000002</v>
      </c>
    </row>
    <row r="563" spans="2:68" ht="25.5">
      <c r="B563" t="s">
        <v>384</v>
      </c>
      <c r="C563" t="str">
        <f>IFERROR(VLOOKUP(Таб[[#This Row],[Зелений Тариф ЕЦ]],Sheet6!$H$9:$I$29,2,FALSE),"")</f>
        <v>Дах</v>
      </c>
      <c r="G563" s="1" t="s">
        <v>1453</v>
      </c>
      <c r="H563" t="s">
        <v>321</v>
      </c>
      <c r="J563" s="7">
        <v>0.03</v>
      </c>
      <c r="K563" s="8"/>
      <c r="L563" s="8">
        <v>42201</v>
      </c>
      <c r="M563">
        <v>7</v>
      </c>
      <c r="N563" s="49" t="s">
        <v>60</v>
      </c>
      <c r="O563">
        <v>2015</v>
      </c>
      <c r="P563">
        <v>0.3226</v>
      </c>
      <c r="Q563" s="10"/>
      <c r="R563" s="11">
        <f>ROUND(Таб[[#This Row],[Зелений Тариф ЕЦ]]+Таб[[#This Row],[Зелений Тариф ЕЦ]]*Таб[[#This Row],[% надбавки]],4)</f>
        <v>0.3226</v>
      </c>
      <c r="S563" s="12"/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BD5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0.96602624911480062</v>
      </c>
      <c r="BE5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1.6657578723739082</v>
      </c>
      <c r="BF5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2.8102581792430557</v>
      </c>
      <c r="BG5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3.9944193878353915</v>
      </c>
      <c r="BH5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4.9179518136753479</v>
      </c>
      <c r="BI5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5.0992587929813515</v>
      </c>
      <c r="BJ5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5.1814135179793848</v>
      </c>
      <c r="BK5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4.4788489731686205</v>
      </c>
      <c r="BL5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3.1445429223385002</v>
      </c>
      <c r="BM5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2.0198730663309465</v>
      </c>
      <c r="BN5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0.93486411204658126</v>
      </c>
      <c r="BO5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0.79038511291210956</v>
      </c>
      <c r="BP563">
        <f>SUM(Таб[[#This Row],[1]:[12]])</f>
        <v>36.003599999999999</v>
      </c>
    </row>
    <row r="564" spans="2:68" ht="51">
      <c r="B564" t="s">
        <v>384</v>
      </c>
      <c r="C564" t="str">
        <f>IFERROR(VLOOKUP(Таб[[#This Row],[Зелений Тариф ЕЦ]],Sheet6!$H$9:$I$29,2,FALSE),"")</f>
        <v>Дах</v>
      </c>
      <c r="G564" s="1" t="s">
        <v>1455</v>
      </c>
      <c r="H564" t="s">
        <v>163</v>
      </c>
      <c r="J564" s="7">
        <v>0.03</v>
      </c>
      <c r="K564" s="8"/>
      <c r="L564" s="8">
        <v>41232</v>
      </c>
      <c r="M564">
        <v>11</v>
      </c>
      <c r="N564" s="49" t="s">
        <v>71</v>
      </c>
      <c r="O564">
        <v>2012</v>
      </c>
      <c r="P564">
        <v>0.42649999999999999</v>
      </c>
      <c r="Q564" s="10"/>
      <c r="R564" s="11">
        <f>ROUND(Таб[[#This Row],[Зелений Тариф ЕЦ]]+Таб[[#This Row],[Зелений Тариф ЕЦ]]*Таб[[#This Row],[% надбавки]],4)</f>
        <v>0.42649999999999999</v>
      </c>
      <c r="S564" s="12"/>
      <c r="T564">
        <v>1E-3</v>
      </c>
      <c r="U564">
        <v>1E-3</v>
      </c>
      <c r="V564">
        <v>3.0000000000000001E-3</v>
      </c>
      <c r="W564">
        <v>3.9999999999999992E-3</v>
      </c>
      <c r="X564">
        <v>4.0000000000000001E-3</v>
      </c>
      <c r="Y564">
        <v>4.9999999999999992E-3</v>
      </c>
      <c r="Z564">
        <v>4.0000000000000001E-3</v>
      </c>
      <c r="AA564">
        <v>4.0000000000000001E-3</v>
      </c>
      <c r="AB564">
        <v>4.0000000000000001E-3</v>
      </c>
      <c r="AC564">
        <v>1.0000000000000009E-3</v>
      </c>
      <c r="AD564">
        <v>1.0000000000000009E-3</v>
      </c>
      <c r="AE564">
        <v>0</v>
      </c>
      <c r="AF564">
        <v>0</v>
      </c>
      <c r="AG564">
        <v>1E-3</v>
      </c>
      <c r="AH564">
        <v>1E-3</v>
      </c>
      <c r="AI564">
        <v>4.0000000000000001E-3</v>
      </c>
      <c r="AJ564">
        <v>5.0000000000000001E-3</v>
      </c>
      <c r="AK564">
        <v>4.0000000000000001E-3</v>
      </c>
      <c r="AL564">
        <v>4.0000000000000001E-3</v>
      </c>
      <c r="AM564">
        <v>5.0000000000000001E-3</v>
      </c>
      <c r="AN564">
        <v>3.0000000000000001E-3</v>
      </c>
      <c r="AO564">
        <v>3.0000000000000001E-3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BD5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0.96602624911480062</v>
      </c>
      <c r="BE5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1.6657578723739082</v>
      </c>
      <c r="BF5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2.8102581792430557</v>
      </c>
      <c r="BG5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3.9944193878353915</v>
      </c>
      <c r="BH5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4.9179518136753479</v>
      </c>
      <c r="BI5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5.0992587929813515</v>
      </c>
      <c r="BJ5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5.1814135179793848</v>
      </c>
      <c r="BK5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4.4788489731686205</v>
      </c>
      <c r="BL5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3.1445429223385002</v>
      </c>
      <c r="BM5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2.0198730663309465</v>
      </c>
      <c r="BN5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0.93486411204658126</v>
      </c>
      <c r="BO5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0.79038511291210956</v>
      </c>
      <c r="BP564">
        <f>SUM(Таб[[#This Row],[1]:[12]])</f>
        <v>36.003599999999999</v>
      </c>
    </row>
    <row r="565" spans="2:68" ht="38.25">
      <c r="B565" t="s">
        <v>384</v>
      </c>
      <c r="C565" t="str">
        <f>IFERROR(VLOOKUP(Таб[[#This Row],[Зелений Тариф ЕЦ]],Sheet6!$H$9:$I$29,2,FALSE),"")</f>
        <v>Дах</v>
      </c>
      <c r="G565" s="1" t="s">
        <v>1458</v>
      </c>
      <c r="H565" t="s">
        <v>122</v>
      </c>
      <c r="J565" s="7">
        <v>6.9000000000000006E-2</v>
      </c>
      <c r="K565" s="8"/>
      <c r="L565" s="8">
        <v>42611</v>
      </c>
      <c r="M565">
        <v>8</v>
      </c>
      <c r="N565" s="49" t="s">
        <v>60</v>
      </c>
      <c r="O565">
        <v>2016</v>
      </c>
      <c r="P565">
        <v>0.17230000000000001</v>
      </c>
      <c r="Q565" s="10"/>
      <c r="R565" s="11">
        <f>ROUND(Таб[[#This Row],[Зелений Тариф ЕЦ]]+Таб[[#This Row],[Зелений Тариф ЕЦ]]*Таб[[#This Row],[% надбавки]],4)</f>
        <v>0.17230000000000001</v>
      </c>
      <c r="S565" s="12"/>
      <c r="T565">
        <v>1E-3</v>
      </c>
      <c r="U565">
        <v>2E-3</v>
      </c>
      <c r="V565">
        <v>7.0000000000000001E-3</v>
      </c>
      <c r="W565">
        <v>8.9999999999999993E-3</v>
      </c>
      <c r="X565">
        <v>1.4000000000000002E-2</v>
      </c>
      <c r="Y565">
        <v>1.2999999999999998E-2</v>
      </c>
      <c r="Z565">
        <v>1.2999999999999998E-2</v>
      </c>
      <c r="AA565">
        <v>1.1999999999999997E-2</v>
      </c>
      <c r="AB565">
        <v>9.000000000000008E-3</v>
      </c>
      <c r="AC565">
        <v>4.0000000000000036E-3</v>
      </c>
      <c r="AD565">
        <v>1.9999999999999879E-3</v>
      </c>
      <c r="AE565">
        <v>1.0000000000000009E-3</v>
      </c>
      <c r="AF565">
        <v>1E-3</v>
      </c>
      <c r="AG565">
        <v>3.0000000000000001E-3</v>
      </c>
      <c r="AH565">
        <v>6.0000000000000001E-3</v>
      </c>
      <c r="AI565">
        <v>1.2E-2</v>
      </c>
      <c r="AJ565">
        <v>1.4E-2</v>
      </c>
      <c r="AK565">
        <v>1.4E-2</v>
      </c>
      <c r="AL565">
        <v>1.2999999999999999E-2</v>
      </c>
      <c r="AM565">
        <v>1.4E-2</v>
      </c>
      <c r="AN565">
        <v>8.0000000000000002E-3</v>
      </c>
      <c r="AO565">
        <v>6.0000000000000001E-3</v>
      </c>
      <c r="AP565">
        <v>2E-3</v>
      </c>
      <c r="AQ565">
        <v>1E-3</v>
      </c>
      <c r="AR565">
        <v>1E-3</v>
      </c>
      <c r="AS565">
        <v>3.0000000000000001E-3</v>
      </c>
      <c r="AT565">
        <v>8.0000000000000002E-3</v>
      </c>
      <c r="AU565">
        <v>1.0999999999999999E-2</v>
      </c>
      <c r="AV565">
        <v>1.2E-2</v>
      </c>
      <c r="AW565">
        <v>1.4E-2</v>
      </c>
      <c r="AX565">
        <v>1.4E-2</v>
      </c>
      <c r="AY565">
        <v>1.2999999999999999E-2</v>
      </c>
      <c r="BD5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2.2218603729640418</v>
      </c>
      <c r="BE5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3.831243106459989</v>
      </c>
      <c r="BF5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6.4635938122590293</v>
      </c>
      <c r="BG5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9.1871645920214018</v>
      </c>
      <c r="BH5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11.311289171453302</v>
      </c>
      <c r="BI5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11.72829522385711</v>
      </c>
      <c r="BJ5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11.917251091352586</v>
      </c>
      <c r="BK5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10.301352638287828</v>
      </c>
      <c r="BL5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7.2324487213785513</v>
      </c>
      <c r="BM5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4.6457080525611776</v>
      </c>
      <c r="BN5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2.1501874577071369</v>
      </c>
      <c r="BO5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1.8178857596978522</v>
      </c>
      <c r="BP565">
        <f>SUM(Таб[[#This Row],[1]:[12]])</f>
        <v>82.808279999999996</v>
      </c>
    </row>
    <row r="566" spans="2:68" ht="38.25">
      <c r="B566" t="s">
        <v>384</v>
      </c>
      <c r="C566" t="str">
        <f>IFERROR(VLOOKUP(Таб[[#This Row],[Зелений Тариф ЕЦ]],Sheet6!$H$9:$I$29,2,FALSE),"")</f>
        <v>Дах</v>
      </c>
      <c r="G566" s="1" t="s">
        <v>1460</v>
      </c>
      <c r="H566" t="s">
        <v>122</v>
      </c>
      <c r="J566" s="7">
        <v>3.5000000000000003E-2</v>
      </c>
      <c r="K566" s="8"/>
      <c r="L566" s="8">
        <v>43130</v>
      </c>
      <c r="M566">
        <v>1</v>
      </c>
      <c r="N566" s="49" t="s">
        <v>67</v>
      </c>
      <c r="O566">
        <v>2018</v>
      </c>
      <c r="P566">
        <v>0.16370000000000001</v>
      </c>
      <c r="Q566" s="10"/>
      <c r="R566" s="11">
        <f>ROUND(Таб[[#This Row],[Зелений Тариф ЕЦ]]+Таб[[#This Row],[Зелений Тариф ЕЦ]]*Таб[[#This Row],[% надбавки]],4)</f>
        <v>0.16370000000000001</v>
      </c>
      <c r="S566" s="12"/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BD5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1.1270306239672676</v>
      </c>
      <c r="BE5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1.9433841844362265</v>
      </c>
      <c r="BF5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3.2786345424502321</v>
      </c>
      <c r="BG5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4.660155952474625</v>
      </c>
      <c r="BH5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5.7376104492879065</v>
      </c>
      <c r="BI5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5.9491352584782451</v>
      </c>
      <c r="BJ5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6.0449824376426164</v>
      </c>
      <c r="BK5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5.2253238020300579</v>
      </c>
      <c r="BL5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3.6686334093949182</v>
      </c>
      <c r="BM5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2.3565185773861046</v>
      </c>
      <c r="BN5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1.0906747973876783</v>
      </c>
      <c r="BO5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0.92211596506412796</v>
      </c>
      <c r="BP566">
        <f>SUM(Таб[[#This Row],[1]:[12]])</f>
        <v>42.004200000000004</v>
      </c>
    </row>
    <row r="567" spans="2:68" ht="25.5">
      <c r="B567" t="s">
        <v>384</v>
      </c>
      <c r="C567" t="str">
        <f>IFERROR(VLOOKUP(Таб[[#This Row],[Зелений Тариф ЕЦ]],Sheet6!$H$9:$I$29,2,FALSE),"")</f>
        <v>Дах</v>
      </c>
      <c r="G567" s="1" t="s">
        <v>466</v>
      </c>
      <c r="H567" t="s">
        <v>185</v>
      </c>
      <c r="J567" s="7">
        <v>0.06</v>
      </c>
      <c r="K567" s="8"/>
      <c r="L567" s="8">
        <v>43331</v>
      </c>
      <c r="M567">
        <v>8</v>
      </c>
      <c r="N567" s="49" t="s">
        <v>60</v>
      </c>
      <c r="O567">
        <v>2018</v>
      </c>
      <c r="P567">
        <v>0.16370000000000001</v>
      </c>
      <c r="Q567" s="10"/>
      <c r="R567" s="11">
        <f>ROUND(Таб[[#This Row],[Зелений Тариф ЕЦ]]+Таб[[#This Row],[Зелений Тариф ЕЦ]]*Таб[[#This Row],[% надбавки]],4)</f>
        <v>0.16370000000000001</v>
      </c>
      <c r="S567" s="12"/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9.1999999999999998E-2</v>
      </c>
      <c r="AX567">
        <v>2.5000000000000001E-2</v>
      </c>
      <c r="AY567">
        <v>4.5999999999999999E-2</v>
      </c>
      <c r="BD5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1.9320524982296012</v>
      </c>
      <c r="BE5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3.3315157447478163</v>
      </c>
      <c r="BF5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5.6205163584861113</v>
      </c>
      <c r="BG5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7.988838775670783</v>
      </c>
      <c r="BH5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9.8359036273506959</v>
      </c>
      <c r="BI5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10.198517585962703</v>
      </c>
      <c r="BJ5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10.36282703595877</v>
      </c>
      <c r="BK5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8.957697946337241</v>
      </c>
      <c r="BL5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6.2890858446770004</v>
      </c>
      <c r="BM5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4.0397461326618931</v>
      </c>
      <c r="BN5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1.8697282240931625</v>
      </c>
      <c r="BO5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1.5807702258242191</v>
      </c>
      <c r="BP567">
        <f>SUM(Таб[[#This Row],[1]:[12]])</f>
        <v>72.007199999999997</v>
      </c>
    </row>
    <row r="568" spans="2:68" ht="25.5">
      <c r="B568" t="s">
        <v>384</v>
      </c>
      <c r="C568" t="str">
        <f>IFERROR(VLOOKUP(Таб[[#This Row],[Зелений Тариф ЕЦ]],Sheet6!$H$9:$I$29,2,FALSE),"")</f>
        <v>Дах</v>
      </c>
      <c r="G568" s="1" t="s">
        <v>466</v>
      </c>
      <c r="H568" t="s">
        <v>185</v>
      </c>
      <c r="J568" s="7">
        <v>0.28199999999999997</v>
      </c>
      <c r="K568" s="8"/>
      <c r="L568" s="8">
        <v>43434</v>
      </c>
      <c r="M568">
        <v>11</v>
      </c>
      <c r="N568" s="49" t="s">
        <v>71</v>
      </c>
      <c r="O568">
        <v>2018</v>
      </c>
      <c r="P568">
        <v>0.16370000000000001</v>
      </c>
      <c r="Q568" s="10"/>
      <c r="R568" s="11">
        <f>ROUND(Таб[[#This Row],[Зелений Тариф ЕЦ]]+Таб[[#This Row],[Зелений Тариф ЕЦ]]*Таб[[#This Row],[% надбавки]],4)</f>
        <v>0.16370000000000001</v>
      </c>
      <c r="S568" s="12"/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BD5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9.080646741679125</v>
      </c>
      <c r="BE5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15.658124000314736</v>
      </c>
      <c r="BF5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26.416426884884721</v>
      </c>
      <c r="BG5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37.547542245652679</v>
      </c>
      <c r="BH5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46.228747048548271</v>
      </c>
      <c r="BI5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47.9330326540247</v>
      </c>
      <c r="BJ5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48.705287069006218</v>
      </c>
      <c r="BK5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42.101180347785025</v>
      </c>
      <c r="BL5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29.5587034699819</v>
      </c>
      <c r="BM5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18.986806823510896</v>
      </c>
      <c r="BN5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8.7877226532378625</v>
      </c>
      <c r="BO5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7.4296200613738286</v>
      </c>
      <c r="BP568">
        <f>SUM(Таб[[#This Row],[1]:[12]])</f>
        <v>338.43383999999992</v>
      </c>
    </row>
    <row r="569" spans="2:68" ht="38.25">
      <c r="B569" t="s">
        <v>384</v>
      </c>
      <c r="C569" t="str">
        <f>IFERROR(VLOOKUP(Таб[[#This Row],[Зелений Тариф ЕЦ]],Sheet6!$H$9:$I$29,2,FALSE),"")</f>
        <v>Дах</v>
      </c>
      <c r="G569" s="1" t="s">
        <v>1464</v>
      </c>
      <c r="H569" t="s">
        <v>1465</v>
      </c>
      <c r="J569" s="7">
        <v>0.05</v>
      </c>
      <c r="K569" s="8"/>
      <c r="L569" s="8">
        <v>43382</v>
      </c>
      <c r="M569">
        <v>10</v>
      </c>
      <c r="N569" s="49" t="s">
        <v>71</v>
      </c>
      <c r="O569">
        <v>2018</v>
      </c>
      <c r="P569">
        <v>0.17230000000000001</v>
      </c>
      <c r="Q569" s="10"/>
      <c r="R569" s="11">
        <f>ROUND(Таб[[#This Row],[Зелений Тариф ЕЦ]]+Таб[[#This Row],[Зелений Тариф ЕЦ]]*Таб[[#This Row],[% надбавки]],4)</f>
        <v>0.17230000000000001</v>
      </c>
      <c r="S569" s="12"/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BD5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1.6100437485246681</v>
      </c>
      <c r="BE5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2.7762631206231809</v>
      </c>
      <c r="BF5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4.6837636320717602</v>
      </c>
      <c r="BG5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6.6573656463923196</v>
      </c>
      <c r="BH5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8.1965863561255805</v>
      </c>
      <c r="BI5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8.4987646549689195</v>
      </c>
      <c r="BJ5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8.6356891966323079</v>
      </c>
      <c r="BK5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7.4647482886143681</v>
      </c>
      <c r="BL5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5.2409048705641688</v>
      </c>
      <c r="BM5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3.3664551105515779</v>
      </c>
      <c r="BN5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1.558106853410969</v>
      </c>
      <c r="BO5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1.3173085215201827</v>
      </c>
      <c r="BP569">
        <f>SUM(Таб[[#This Row],[1]:[12]])</f>
        <v>60.005999999999993</v>
      </c>
    </row>
    <row r="570" spans="2:68" ht="38.25">
      <c r="B570" t="s">
        <v>384</v>
      </c>
      <c r="C570" t="str">
        <f>IFERROR(VLOOKUP(Таб[[#This Row],[Зелений Тариф ЕЦ]],Sheet6!$H$9:$I$29,2,FALSE),"")</f>
        <v>Дах</v>
      </c>
      <c r="G570" s="1" t="s">
        <v>1464</v>
      </c>
      <c r="H570" t="s">
        <v>1257</v>
      </c>
      <c r="J570" s="7">
        <v>3.4000000000000002E-2</v>
      </c>
      <c r="K570" s="8"/>
      <c r="L570" s="8">
        <v>43382</v>
      </c>
      <c r="M570">
        <v>10</v>
      </c>
      <c r="N570" s="49" t="s">
        <v>71</v>
      </c>
      <c r="O570">
        <v>2018</v>
      </c>
      <c r="P570">
        <v>0.16370000000000001</v>
      </c>
      <c r="Q570" s="10"/>
      <c r="R570" s="11">
        <f>ROUND(Таб[[#This Row],[Зелений Тариф ЕЦ]]+Таб[[#This Row],[Зелений Тариф ЕЦ]]*Таб[[#This Row],[% надбавки]],4)</f>
        <v>0.16370000000000001</v>
      </c>
      <c r="S570" s="12"/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4.0000000000000001E-3</v>
      </c>
      <c r="AV570">
        <v>5.0000000000000001E-3</v>
      </c>
      <c r="AW570">
        <v>6.0000000000000001E-3</v>
      </c>
      <c r="AX570">
        <v>6.0000000000000001E-3</v>
      </c>
      <c r="AY570">
        <v>5.0000000000000001E-3</v>
      </c>
      <c r="BD5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1.0948297489967742</v>
      </c>
      <c r="BE5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1.8878589220237627</v>
      </c>
      <c r="BF5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3.1849592698087967</v>
      </c>
      <c r="BG5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4.5270086395467786</v>
      </c>
      <c r="BH5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5.5736787221653952</v>
      </c>
      <c r="BI5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5.7791599653788666</v>
      </c>
      <c r="BJ5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5.8722686537099706</v>
      </c>
      <c r="BK5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5.0760288362577706</v>
      </c>
      <c r="BL5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3.5638153119836344</v>
      </c>
      <c r="BM5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2.289189475175073</v>
      </c>
      <c r="BN5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1.0595126603194589</v>
      </c>
      <c r="BO5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0.89576979463372419</v>
      </c>
      <c r="BP570">
        <f>SUM(Таб[[#This Row],[1]:[12]])</f>
        <v>40.804079999999999</v>
      </c>
    </row>
    <row r="571" spans="2:68" ht="25.5">
      <c r="B571" t="s">
        <v>384</v>
      </c>
      <c r="C571" t="str">
        <f>IFERROR(VLOOKUP(Таб[[#This Row],[Зелений Тариф ЕЦ]],Sheet6!$H$9:$I$29,2,FALSE),"")</f>
        <v>Дах</v>
      </c>
      <c r="G571" s="1" t="s">
        <v>456</v>
      </c>
      <c r="H571" t="s">
        <v>98</v>
      </c>
      <c r="I571" t="s">
        <v>1468</v>
      </c>
      <c r="J571" s="7">
        <v>1</v>
      </c>
      <c r="K571" s="8"/>
      <c r="L571" s="8">
        <v>43158</v>
      </c>
      <c r="M571">
        <v>2</v>
      </c>
      <c r="N571" s="49" t="s">
        <v>67</v>
      </c>
      <c r="O571">
        <v>2018</v>
      </c>
      <c r="P571">
        <v>0.16370000000000001</v>
      </c>
      <c r="Q571" s="10"/>
      <c r="R571" s="11">
        <f>ROUND(Таб[[#This Row],[Зелений Тариф ЕЦ]]+Таб[[#This Row],[Зелений Тариф ЕЦ]]*Таб[[#This Row],[% надбавки]],4)</f>
        <v>0.16370000000000001</v>
      </c>
      <c r="S571" s="12"/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1E-3</v>
      </c>
      <c r="AI571">
        <v>0.17499999999999999</v>
      </c>
      <c r="AJ571">
        <v>0.21199999999999999</v>
      </c>
      <c r="AK571">
        <v>0.17799999999999999</v>
      </c>
      <c r="AL571">
        <v>0.188</v>
      </c>
      <c r="AM571">
        <v>0.20200000000000001</v>
      </c>
      <c r="AN571">
        <v>0.161</v>
      </c>
      <c r="AO571">
        <v>0.125</v>
      </c>
      <c r="AP571">
        <v>4.5999999999999999E-2</v>
      </c>
      <c r="AQ571">
        <v>7.0000000000000001E-3</v>
      </c>
      <c r="AR571">
        <v>1.6E-2</v>
      </c>
      <c r="AS571">
        <v>0.13300000000000001</v>
      </c>
      <c r="AT571">
        <v>0.23899999999999999</v>
      </c>
      <c r="AU571">
        <v>0.314</v>
      </c>
      <c r="AV571">
        <v>0.25800000000000001</v>
      </c>
      <c r="AW571">
        <v>0.53900000000000003</v>
      </c>
      <c r="AX571">
        <v>0.44700000000000001</v>
      </c>
      <c r="AY571">
        <v>0.46</v>
      </c>
      <c r="BD5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32.200874970493359</v>
      </c>
      <c r="BE5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55.525262412463604</v>
      </c>
      <c r="BF5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93.6752726414352</v>
      </c>
      <c r="BG5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133.14731292784643</v>
      </c>
      <c r="BH5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163.9317271225116</v>
      </c>
      <c r="BI5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169.9752930993784</v>
      </c>
      <c r="BJ5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172.71378393264615</v>
      </c>
      <c r="BK5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149.29496577228736</v>
      </c>
      <c r="BL5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104.81809741128336</v>
      </c>
      <c r="BM5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67.32910221103154</v>
      </c>
      <c r="BN5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31.162137068219373</v>
      </c>
      <c r="BO5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26.346170430403653</v>
      </c>
      <c r="BP571">
        <f>SUM(Таб[[#This Row],[1]:[12]])</f>
        <v>1200.1200000000001</v>
      </c>
    </row>
    <row r="572" spans="2:68" ht="25.5">
      <c r="B572" t="s">
        <v>384</v>
      </c>
      <c r="C572" t="str">
        <f>IFERROR(VLOOKUP(Таб[[#This Row],[Зелений Тариф ЕЦ]],Sheet6!$H$9:$I$29,2,FALSE),"")</f>
        <v>Дах</v>
      </c>
      <c r="G572" s="1" t="s">
        <v>456</v>
      </c>
      <c r="H572" t="s">
        <v>98</v>
      </c>
      <c r="J572" s="7">
        <v>0.5</v>
      </c>
      <c r="K572" s="8"/>
      <c r="L572" s="8">
        <v>43158</v>
      </c>
      <c r="M572">
        <v>2</v>
      </c>
      <c r="N572" s="49" t="s">
        <v>67</v>
      </c>
      <c r="O572">
        <v>2018</v>
      </c>
      <c r="P572">
        <v>0.16370000000000001</v>
      </c>
      <c r="Q572" s="10"/>
      <c r="R572" s="11">
        <f>ROUND(Таб[[#This Row],[Зелений Тариф ЕЦ]]+Таб[[#This Row],[Зелений Тариф ЕЦ]]*Таб[[#This Row],[% надбавки]],4)</f>
        <v>0.16370000000000001</v>
      </c>
      <c r="S572" s="12"/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BD5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16.10043748524668</v>
      </c>
      <c r="BE5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27.762631206231802</v>
      </c>
      <c r="BF5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46.8376363207176</v>
      </c>
      <c r="BG5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66.573656463923214</v>
      </c>
      <c r="BH5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81.965863561255802</v>
      </c>
      <c r="BI5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84.987646549689202</v>
      </c>
      <c r="BJ5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86.356891966323076</v>
      </c>
      <c r="BK5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74.647482886143678</v>
      </c>
      <c r="BL5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52.40904870564168</v>
      </c>
      <c r="BM5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33.66455110551577</v>
      </c>
      <c r="BN5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15.581068534109686</v>
      </c>
      <c r="BO5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13.173085215201827</v>
      </c>
      <c r="BP572">
        <f>SUM(Таб[[#This Row],[1]:[12]])</f>
        <v>600.06000000000006</v>
      </c>
    </row>
    <row r="573" spans="2:68" ht="25.5">
      <c r="B573" t="s">
        <v>384</v>
      </c>
      <c r="C573" t="str">
        <f>IFERROR(VLOOKUP(Таб[[#This Row],[Зелений Тариф ЕЦ]],Sheet6!$H$9:$I$29,2,FALSE),"")</f>
        <v>Дах</v>
      </c>
      <c r="G573" s="1" t="s">
        <v>456</v>
      </c>
      <c r="H573" t="s">
        <v>98</v>
      </c>
      <c r="J573" s="7">
        <v>6.6000000000000003E-2</v>
      </c>
      <c r="K573" s="8"/>
      <c r="L573" s="8">
        <v>43158</v>
      </c>
      <c r="M573">
        <v>2</v>
      </c>
      <c r="N573" s="49" t="s">
        <v>67</v>
      </c>
      <c r="O573">
        <v>2018</v>
      </c>
      <c r="P573">
        <v>0.16370000000000001</v>
      </c>
      <c r="Q573" s="10"/>
      <c r="R573" s="11">
        <f>ROUND(Таб[[#This Row],[Зелений Тариф ЕЦ]]+Таб[[#This Row],[Зелений Тариф ЕЦ]]*Таб[[#This Row],[% надбавки]],4)</f>
        <v>0.16370000000000001</v>
      </c>
      <c r="S573" s="12"/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BD5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2.1252577480525616</v>
      </c>
      <c r="BE5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3.6646673192225983</v>
      </c>
      <c r="BF5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6.1825679943347245</v>
      </c>
      <c r="BG5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8.7877226532378625</v>
      </c>
      <c r="BH5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10.819493990085768</v>
      </c>
      <c r="BI5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11.218369344558976</v>
      </c>
      <c r="BJ5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11.399109739554646</v>
      </c>
      <c r="BK5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9.8534677409709666</v>
      </c>
      <c r="BL5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6.9179944291447022</v>
      </c>
      <c r="BM5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4.4437207459280827</v>
      </c>
      <c r="BN5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2.0567010465024791</v>
      </c>
      <c r="BO5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1.7388472484066413</v>
      </c>
      <c r="BP573">
        <f>SUM(Таб[[#This Row],[1]:[12]])</f>
        <v>79.207920000000016</v>
      </c>
    </row>
    <row r="574" spans="2:68" ht="25.5">
      <c r="B574" t="s">
        <v>384</v>
      </c>
      <c r="C574" t="str">
        <f>IFERROR(VLOOKUP(Таб[[#This Row],[Зелений Тариф ЕЦ]],Sheet6!$H$9:$I$29,2,FALSE),"")</f>
        <v>Дах</v>
      </c>
      <c r="G574" s="1" t="s">
        <v>456</v>
      </c>
      <c r="H574" t="s">
        <v>98</v>
      </c>
      <c r="J574" s="7">
        <v>1</v>
      </c>
      <c r="K574" s="8"/>
      <c r="L574" s="8">
        <v>43476</v>
      </c>
      <c r="M574">
        <v>1</v>
      </c>
      <c r="N574" s="49" t="s">
        <v>67</v>
      </c>
      <c r="O574">
        <v>2019</v>
      </c>
      <c r="P574">
        <v>0.16370000000000001</v>
      </c>
      <c r="Q574" s="10"/>
      <c r="R574" s="11">
        <f>ROUND(Таб[[#This Row],[Зелений Тариф ЕЦ]]+Таб[[#This Row],[Зелений Тариф ЕЦ]]*Таб[[#This Row],[% надбавки]],4)</f>
        <v>0.16370000000000001</v>
      </c>
      <c r="S574" s="12"/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BD5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32.200874970493359</v>
      </c>
      <c r="BE5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55.525262412463604</v>
      </c>
      <c r="BF5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93.6752726414352</v>
      </c>
      <c r="BG5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133.14731292784643</v>
      </c>
      <c r="BH5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163.9317271225116</v>
      </c>
      <c r="BI5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169.9752930993784</v>
      </c>
      <c r="BJ5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172.71378393264615</v>
      </c>
      <c r="BK5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149.29496577228736</v>
      </c>
      <c r="BL5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104.81809741128336</v>
      </c>
      <c r="BM5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67.32910221103154</v>
      </c>
      <c r="BN5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31.162137068219373</v>
      </c>
      <c r="BO5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26.346170430403653</v>
      </c>
      <c r="BP574">
        <f>SUM(Таб[[#This Row],[1]:[12]])</f>
        <v>1200.1200000000001</v>
      </c>
    </row>
    <row r="575" spans="2:68" ht="25.5">
      <c r="B575" t="s">
        <v>384</v>
      </c>
      <c r="C575" t="str">
        <f>IFERROR(VLOOKUP(Таб[[#This Row],[Зелений Тариф ЕЦ]],Sheet6!$H$9:$I$29,2,FALSE),"")</f>
        <v>Дах</v>
      </c>
      <c r="G575" s="1" t="s">
        <v>456</v>
      </c>
      <c r="H575" t="s">
        <v>98</v>
      </c>
      <c r="J575" s="7">
        <v>0.98</v>
      </c>
      <c r="K575" s="8"/>
      <c r="L575" s="8">
        <v>43596</v>
      </c>
      <c r="M575">
        <v>5</v>
      </c>
      <c r="N575" s="49" t="s">
        <v>57</v>
      </c>
      <c r="O575">
        <v>2019</v>
      </c>
      <c r="P575">
        <v>0.16370000000000001</v>
      </c>
      <c r="Q575" s="10"/>
      <c r="R575" s="11">
        <f>ROUND(Таб[[#This Row],[Зелений Тариф ЕЦ]]+Таб[[#This Row],[Зелений Тариф ЕЦ]]*Таб[[#This Row],[% надбавки]],4)</f>
        <v>0.16370000000000001</v>
      </c>
      <c r="S575" s="12"/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BD5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31.556857471083486</v>
      </c>
      <c r="BE5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54.414757164214329</v>
      </c>
      <c r="BF5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91.80176718860649</v>
      </c>
      <c r="BG5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130.48436666928947</v>
      </c>
      <c r="BH5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160.65309258006135</v>
      </c>
      <c r="BI5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166.57578723739084</v>
      </c>
      <c r="BJ5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169.25950825399323</v>
      </c>
      <c r="BK5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146.30906645684161</v>
      </c>
      <c r="BL5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102.72173546305768</v>
      </c>
      <c r="BM5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65.982520166810914</v>
      </c>
      <c r="BN5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30.53889432685499</v>
      </c>
      <c r="BO5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25.819247021795576</v>
      </c>
      <c r="BP575">
        <f>SUM(Таб[[#This Row],[1]:[12]])</f>
        <v>1176.1175999999998</v>
      </c>
    </row>
    <row r="576" spans="2:68" ht="25.5">
      <c r="B576" t="s">
        <v>384</v>
      </c>
      <c r="C576" t="str">
        <f>IFERROR(VLOOKUP(Таб[[#This Row],[Зелений Тариф ЕЦ]],Sheet6!$H$9:$I$29,2,FALSE),"")</f>
        <v>Дах</v>
      </c>
      <c r="G576" s="1" t="s">
        <v>1474</v>
      </c>
      <c r="H576" t="s">
        <v>65</v>
      </c>
      <c r="J576" s="7">
        <v>0.60199999999999998</v>
      </c>
      <c r="K576" s="8"/>
      <c r="L576" s="8">
        <v>43613</v>
      </c>
      <c r="M576">
        <v>5</v>
      </c>
      <c r="N576" s="49" t="s">
        <v>57</v>
      </c>
      <c r="O576">
        <v>2019</v>
      </c>
      <c r="P576">
        <v>0.16370000000000001</v>
      </c>
      <c r="Q576" s="10"/>
      <c r="R576" s="11">
        <f>ROUND(Таб[[#This Row],[Зелений Тариф ЕЦ]]+Таб[[#This Row],[Зелений Тариф ЕЦ]]*Таб[[#This Row],[% надбавки]],4)</f>
        <v>0.16370000000000001</v>
      </c>
      <c r="S576" s="12"/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8.3000000000000004E-2</v>
      </c>
      <c r="AX576">
        <v>8.5999999999999993E-2</v>
      </c>
      <c r="AY576">
        <v>7.0999999999999994E-2</v>
      </c>
      <c r="BD5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19.384926732236998</v>
      </c>
      <c r="BE5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33.426207972303096</v>
      </c>
      <c r="BF5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56.392514130143987</v>
      </c>
      <c r="BG5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80.154682382563536</v>
      </c>
      <c r="BH5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98.686899727751992</v>
      </c>
      <c r="BI5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102.3251264458258</v>
      </c>
      <c r="BJ5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103.973697927453</v>
      </c>
      <c r="BK5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89.87556939491698</v>
      </c>
      <c r="BL5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63.100494641592576</v>
      </c>
      <c r="BM5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40.532119531040991</v>
      </c>
      <c r="BN5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18.759606515068064</v>
      </c>
      <c r="BO5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15.860394599103</v>
      </c>
      <c r="BP576">
        <f>SUM(Таб[[#This Row],[1]:[12]])</f>
        <v>722.47223999999994</v>
      </c>
    </row>
    <row r="577" spans="2:68" ht="25.5">
      <c r="B577" t="s">
        <v>384</v>
      </c>
      <c r="C577" t="str">
        <f>IFERROR(VLOOKUP(Таб[[#This Row],[Зелений Тариф ЕЦ]],Sheet6!$H$9:$I$29,2,FALSE),"")</f>
        <v>Дах</v>
      </c>
      <c r="G577" s="1" t="s">
        <v>1477</v>
      </c>
      <c r="H577" t="s">
        <v>163</v>
      </c>
      <c r="J577" s="7">
        <v>2.8000000000000001E-2</v>
      </c>
      <c r="K577" s="8"/>
      <c r="L577" s="8">
        <v>42362</v>
      </c>
      <c r="M577">
        <v>12</v>
      </c>
      <c r="N577" s="49" t="s">
        <v>71</v>
      </c>
      <c r="O577">
        <v>2015</v>
      </c>
      <c r="P577">
        <v>0.1804</v>
      </c>
      <c r="Q577" s="10"/>
      <c r="R577" s="11">
        <f>ROUND(Таб[[#This Row],[Зелений Тариф ЕЦ]]+Таб[[#This Row],[Зелений Тариф ЕЦ]]*Таб[[#This Row],[% надбавки]],4)</f>
        <v>0.1804</v>
      </c>
      <c r="S577" s="12"/>
      <c r="T577">
        <v>0</v>
      </c>
      <c r="U577">
        <v>0</v>
      </c>
      <c r="V577">
        <v>3.0000000000000001E-3</v>
      </c>
      <c r="W577">
        <v>4.0000000000000001E-3</v>
      </c>
      <c r="X577">
        <v>5.0000000000000001E-3</v>
      </c>
      <c r="Y577">
        <v>5.000000000000001E-3</v>
      </c>
      <c r="Z577">
        <v>4.9999999999999975E-3</v>
      </c>
      <c r="AA577">
        <v>5.000000000000001E-3</v>
      </c>
      <c r="AB577">
        <v>2.9999999999999992E-3</v>
      </c>
      <c r="AC577">
        <v>2.0000000000000018E-3</v>
      </c>
      <c r="AD577">
        <v>1.0000000000000009E-3</v>
      </c>
      <c r="AE577">
        <v>0</v>
      </c>
      <c r="AF577">
        <v>1E-3</v>
      </c>
      <c r="AG577">
        <v>1E-3</v>
      </c>
      <c r="AH577">
        <v>2E-3</v>
      </c>
      <c r="AI577">
        <v>4.0000000000000001E-3</v>
      </c>
      <c r="AJ577">
        <v>5.0000000000000001E-3</v>
      </c>
      <c r="AK577">
        <v>5.0000000000000001E-3</v>
      </c>
      <c r="AL577">
        <v>4.0000000000000001E-3</v>
      </c>
      <c r="AM577">
        <v>5.0000000000000001E-3</v>
      </c>
      <c r="AN577">
        <v>3.0000000000000001E-3</v>
      </c>
      <c r="AO577">
        <v>3.0000000000000001E-3</v>
      </c>
      <c r="AP577">
        <v>1E-3</v>
      </c>
      <c r="AQ577">
        <v>0</v>
      </c>
      <c r="AR577">
        <v>0</v>
      </c>
      <c r="AS577">
        <v>1E-3</v>
      </c>
      <c r="AT577">
        <v>1E-3</v>
      </c>
      <c r="AU577">
        <v>4.0000000000000001E-3</v>
      </c>
      <c r="AV577">
        <v>4.0000000000000001E-3</v>
      </c>
      <c r="AW577">
        <v>5.0000000000000001E-3</v>
      </c>
      <c r="AX577">
        <v>5.0000000000000001E-3</v>
      </c>
      <c r="AY577">
        <v>5.0000000000000001E-3</v>
      </c>
      <c r="BD5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0.90162449917381404</v>
      </c>
      <c r="BE5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1.5547073475489808</v>
      </c>
      <c r="BF5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2.6229076339601853</v>
      </c>
      <c r="BG5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3.7281247619796991</v>
      </c>
      <c r="BH5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4.5900883594303252</v>
      </c>
      <c r="BI5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4.7593082067825954</v>
      </c>
      <c r="BJ5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4.8359859501140932</v>
      </c>
      <c r="BK5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4.1802590416240459</v>
      </c>
      <c r="BL5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2.934906727515934</v>
      </c>
      <c r="BM5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1.8852148619088833</v>
      </c>
      <c r="BN5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0.87253983791014256</v>
      </c>
      <c r="BO5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0.73769277205130224</v>
      </c>
      <c r="BP577">
        <f>SUM(Таб[[#This Row],[1]:[12]])</f>
        <v>33.603359999999995</v>
      </c>
    </row>
    <row r="578" spans="2:68" ht="25.5">
      <c r="B578" t="s">
        <v>384</v>
      </c>
      <c r="C578" t="str">
        <f>IFERROR(VLOOKUP(Таб[[#This Row],[Зелений Тариф ЕЦ]],Sheet6!$H$9:$I$29,2,FALSE),"")</f>
        <v>Дах</v>
      </c>
      <c r="G578" s="1" t="s">
        <v>1479</v>
      </c>
      <c r="H578" t="s">
        <v>62</v>
      </c>
      <c r="J578" s="7">
        <v>1.4999999999999999E-2</v>
      </c>
      <c r="K578" s="8"/>
      <c r="L578" s="8">
        <v>42593</v>
      </c>
      <c r="M578">
        <v>8</v>
      </c>
      <c r="N578" s="49" t="s">
        <v>60</v>
      </c>
      <c r="O578">
        <v>2016</v>
      </c>
      <c r="P578">
        <v>0.17230000000000001</v>
      </c>
      <c r="Q578" s="10"/>
      <c r="R578" s="11">
        <f>ROUND(Таб[[#This Row],[Зелений Тариф ЕЦ]]+Таб[[#This Row],[Зелений Тариф ЕЦ]]*Таб[[#This Row],[% надбавки]],4)</f>
        <v>0.17230000000000001</v>
      </c>
      <c r="S578" s="12"/>
      <c r="T578">
        <v>0</v>
      </c>
      <c r="U578">
        <v>1E-3</v>
      </c>
      <c r="V578">
        <v>1E-3</v>
      </c>
      <c r="W578">
        <v>2E-3</v>
      </c>
      <c r="X578">
        <v>1E-3</v>
      </c>
      <c r="Y578">
        <v>2E-3</v>
      </c>
      <c r="Z578">
        <v>1E-3</v>
      </c>
      <c r="AA578">
        <v>9.9999999999999915E-4</v>
      </c>
      <c r="AB578">
        <v>1.0000000000000009E-3</v>
      </c>
      <c r="AC578">
        <v>9.9999999999999915E-4</v>
      </c>
      <c r="AD578">
        <v>1.0000000000000009E-3</v>
      </c>
      <c r="AE578">
        <v>0</v>
      </c>
      <c r="AF578">
        <v>0</v>
      </c>
      <c r="AG578">
        <v>0</v>
      </c>
      <c r="AH578">
        <v>1E-3</v>
      </c>
      <c r="AI578">
        <v>2E-3</v>
      </c>
      <c r="AJ578">
        <v>3.0000000000000001E-3</v>
      </c>
      <c r="AK578">
        <v>2E-3</v>
      </c>
      <c r="AL578">
        <v>2E-3</v>
      </c>
      <c r="AM578">
        <v>2E-3</v>
      </c>
      <c r="AN578">
        <v>2E-3</v>
      </c>
      <c r="AO578">
        <v>1E-3</v>
      </c>
      <c r="AP578">
        <v>0</v>
      </c>
      <c r="AQ578">
        <v>0</v>
      </c>
      <c r="AR578">
        <v>0</v>
      </c>
      <c r="AS578">
        <v>1E-3</v>
      </c>
      <c r="AT578">
        <v>1E-3</v>
      </c>
      <c r="AU578">
        <v>2E-3</v>
      </c>
      <c r="AV578">
        <v>1E-3</v>
      </c>
      <c r="AW578">
        <v>1E-3</v>
      </c>
      <c r="AX578">
        <v>2E-3</v>
      </c>
      <c r="AY578">
        <v>1E-3</v>
      </c>
      <c r="BD5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0.48301312455740031</v>
      </c>
      <c r="BE5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0.83287893618695408</v>
      </c>
      <c r="BF5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1.4051290896215278</v>
      </c>
      <c r="BG5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1.9972096939176958</v>
      </c>
      <c r="BH5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2.458975906837674</v>
      </c>
      <c r="BI5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2.5496293964906758</v>
      </c>
      <c r="BJ5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2.5907067589896924</v>
      </c>
      <c r="BK5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2.2394244865843103</v>
      </c>
      <c r="BL5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1.5722714611692501</v>
      </c>
      <c r="BM5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1.0099365331654733</v>
      </c>
      <c r="BN5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0.46743205602329063</v>
      </c>
      <c r="BO5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0.39519255645605478</v>
      </c>
      <c r="BP578">
        <f>SUM(Таб[[#This Row],[1]:[12]])</f>
        <v>18.001799999999999</v>
      </c>
    </row>
    <row r="579" spans="2:68" ht="38.25">
      <c r="B579" t="s">
        <v>384</v>
      </c>
      <c r="C579" t="str">
        <f>IFERROR(VLOOKUP(Таб[[#This Row],[Зелений Тариф ЕЦ]],Sheet6!$H$9:$I$29,2,FALSE),"")</f>
        <v>Дах</v>
      </c>
      <c r="G579" s="1" t="s">
        <v>1481</v>
      </c>
      <c r="H579" t="s">
        <v>122</v>
      </c>
      <c r="J579" s="7">
        <v>0.23899999999999999</v>
      </c>
      <c r="K579" s="8"/>
      <c r="L579" s="8">
        <v>43340</v>
      </c>
      <c r="M579">
        <v>8</v>
      </c>
      <c r="N579" s="49" t="s">
        <v>60</v>
      </c>
      <c r="O579">
        <v>2018</v>
      </c>
      <c r="P579">
        <v>0.16370000000000001</v>
      </c>
      <c r="Q579" s="10"/>
      <c r="R579" s="11">
        <f>ROUND(Таб[[#This Row],[Зелений Тариф ЕЦ]]+Таб[[#This Row],[Зелений Тариф ЕЦ]]*Таб[[#This Row],[% надбавки]],4)</f>
        <v>0.16370000000000001</v>
      </c>
      <c r="S579" s="12"/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2.4E-2</v>
      </c>
      <c r="AP579">
        <v>0.01</v>
      </c>
      <c r="AQ579">
        <v>2E-3</v>
      </c>
      <c r="AR579">
        <v>2E-3</v>
      </c>
      <c r="AS579">
        <v>1.0999999999999999E-2</v>
      </c>
      <c r="AT579">
        <v>2.7E-2</v>
      </c>
      <c r="AU579">
        <v>3.7999999999999999E-2</v>
      </c>
      <c r="AV579">
        <v>4.2999999999999997E-2</v>
      </c>
      <c r="AW579">
        <v>0.04</v>
      </c>
      <c r="AX579">
        <v>3.4000000000000002E-2</v>
      </c>
      <c r="AY579">
        <v>2.1000000000000001E-2</v>
      </c>
      <c r="BD5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7.6960091179479111</v>
      </c>
      <c r="BE5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13.270537716578801</v>
      </c>
      <c r="BF5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22.388390161303015</v>
      </c>
      <c r="BG5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31.822207789755289</v>
      </c>
      <c r="BH5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39.179682782280274</v>
      </c>
      <c r="BI5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40.624095050751436</v>
      </c>
      <c r="BJ5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41.278594359902428</v>
      </c>
      <c r="BK5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35.68149681957668</v>
      </c>
      <c r="BL5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25.051525281296719</v>
      </c>
      <c r="BM5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16.091655428436539</v>
      </c>
      <c r="BN5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7.4477507593044301</v>
      </c>
      <c r="BO5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6.2967347328664722</v>
      </c>
      <c r="BP579">
        <f>SUM(Таб[[#This Row],[1]:[12]])</f>
        <v>286.82867999999996</v>
      </c>
    </row>
    <row r="580" spans="2:68" ht="102">
      <c r="B580" t="s">
        <v>384</v>
      </c>
      <c r="C580" t="str">
        <f>IFERROR(VLOOKUP(Таб[[#This Row],[Зелений Тариф ЕЦ]],Sheet6!$H$9:$I$29,2,FALSE),"")</f>
        <v>Дах</v>
      </c>
      <c r="G580" s="1" t="s">
        <v>1484</v>
      </c>
      <c r="H580" t="s">
        <v>107</v>
      </c>
      <c r="J580" s="7">
        <v>6.2E-2</v>
      </c>
      <c r="K580" s="8"/>
      <c r="L580" s="8">
        <v>42460</v>
      </c>
      <c r="M580">
        <v>3</v>
      </c>
      <c r="N580" s="49" t="s">
        <v>67</v>
      </c>
      <c r="O580">
        <v>2016</v>
      </c>
      <c r="P580">
        <v>0.1804</v>
      </c>
      <c r="Q580" s="10"/>
      <c r="R580" s="11">
        <f>ROUND(Таб[[#This Row],[Зелений Тариф ЕЦ]]+Таб[[#This Row],[Зелений Тариф ЕЦ]]*Таб[[#This Row],[% надбавки]],4)</f>
        <v>0.1804</v>
      </c>
      <c r="S580" s="12"/>
      <c r="T580">
        <v>1E-3</v>
      </c>
      <c r="U580">
        <v>1E-3</v>
      </c>
      <c r="V580">
        <v>5.0000000000000001E-3</v>
      </c>
      <c r="W580">
        <v>8.0000000000000002E-3</v>
      </c>
      <c r="X580">
        <v>1.0000000000000002E-2</v>
      </c>
      <c r="Y580">
        <v>1.0000000000000002E-2</v>
      </c>
      <c r="Z580">
        <v>9.999999999999995E-3</v>
      </c>
      <c r="AA580">
        <v>8.0000000000000002E-3</v>
      </c>
      <c r="AB580">
        <v>5.9999999999999984E-3</v>
      </c>
      <c r="AC580">
        <v>3.0000000000000027E-3</v>
      </c>
      <c r="AD580">
        <v>1.0000000000000009E-3</v>
      </c>
      <c r="AE580">
        <v>0</v>
      </c>
      <c r="AF580">
        <v>1E-3</v>
      </c>
      <c r="AG580">
        <v>2E-3</v>
      </c>
      <c r="AH580">
        <v>2E-3</v>
      </c>
      <c r="AI580">
        <v>8.0000000000000002E-3</v>
      </c>
      <c r="AJ580">
        <v>0.01</v>
      </c>
      <c r="AK580">
        <v>0.01</v>
      </c>
      <c r="AL580">
        <v>8.0000000000000002E-3</v>
      </c>
      <c r="AM580">
        <v>8.9999999999999993E-3</v>
      </c>
      <c r="AN580">
        <v>6.0000000000000001E-3</v>
      </c>
      <c r="AO580">
        <v>4.0000000000000001E-3</v>
      </c>
      <c r="AP580">
        <v>1E-3</v>
      </c>
      <c r="AQ580">
        <v>0</v>
      </c>
      <c r="AR580">
        <v>1E-3</v>
      </c>
      <c r="AS580">
        <v>2E-3</v>
      </c>
      <c r="AT580">
        <v>5.0000000000000001E-3</v>
      </c>
      <c r="AU580">
        <v>7.0000000000000001E-3</v>
      </c>
      <c r="AV580">
        <v>8.9999999999999993E-3</v>
      </c>
      <c r="AW580">
        <v>0.01</v>
      </c>
      <c r="AX580">
        <v>8.9999999999999993E-3</v>
      </c>
      <c r="AY580">
        <v>8.0000000000000002E-3</v>
      </c>
      <c r="BD5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1.996454248170588</v>
      </c>
      <c r="BE5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3.4425662695727439</v>
      </c>
      <c r="BF5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5.8078669037689821</v>
      </c>
      <c r="BG5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8.2551334015264786</v>
      </c>
      <c r="BH5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10.163767081595719</v>
      </c>
      <c r="BI5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10.538468172161462</v>
      </c>
      <c r="BJ5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10.708254603824063</v>
      </c>
      <c r="BK5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9.2562878778818174</v>
      </c>
      <c r="BL5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6.4987220394995671</v>
      </c>
      <c r="BM5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4.1744043370839563</v>
      </c>
      <c r="BN5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1.9320524982296012</v>
      </c>
      <c r="BO5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1.6334625666850267</v>
      </c>
      <c r="BP580">
        <f>SUM(Таб[[#This Row],[1]:[12]])</f>
        <v>74.407439999999994</v>
      </c>
    </row>
    <row r="581" spans="2:68" ht="38.25">
      <c r="B581" t="s">
        <v>384</v>
      </c>
      <c r="C581" t="str">
        <f>IFERROR(VLOOKUP(Таб[[#This Row],[Зелений Тариф ЕЦ]],Sheet6!$H$9:$I$29,2,FALSE),"")</f>
        <v>Дах</v>
      </c>
      <c r="G581" s="1" t="s">
        <v>1486</v>
      </c>
      <c r="H581" t="s">
        <v>122</v>
      </c>
      <c r="J581" s="7">
        <v>0.223</v>
      </c>
      <c r="K581" s="8"/>
      <c r="L581" s="8">
        <v>42873</v>
      </c>
      <c r="M581">
        <v>5</v>
      </c>
      <c r="N581" s="49" t="s">
        <v>57</v>
      </c>
      <c r="O581">
        <v>2017</v>
      </c>
      <c r="P581">
        <v>0.17230000000000001</v>
      </c>
      <c r="Q581" s="10"/>
      <c r="R581" s="11">
        <f>ROUND(Таб[[#This Row],[Зелений Тариф ЕЦ]]+Таб[[#This Row],[Зелений Тариф ЕЦ]]*Таб[[#This Row],[% надбавки]],4)</f>
        <v>0.17230000000000001</v>
      </c>
      <c r="S581" s="12"/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8.0000000000000002E-3</v>
      </c>
      <c r="AI581">
        <v>2.8000000000000001E-2</v>
      </c>
      <c r="AJ581">
        <v>3.5999999999999997E-2</v>
      </c>
      <c r="AK581">
        <v>3.7999999999999999E-2</v>
      </c>
      <c r="AL581">
        <v>3.3000000000000002E-2</v>
      </c>
      <c r="AM581">
        <v>3.3000000000000002E-2</v>
      </c>
      <c r="AN581">
        <v>0.02</v>
      </c>
      <c r="AO581">
        <v>1.6E-2</v>
      </c>
      <c r="AP581">
        <v>6.0000000000000001E-3</v>
      </c>
      <c r="AQ581">
        <v>1E-3</v>
      </c>
      <c r="AR581">
        <v>0</v>
      </c>
      <c r="AS581">
        <v>7.0000000000000001E-3</v>
      </c>
      <c r="AT581">
        <v>1.9E-2</v>
      </c>
      <c r="AU581">
        <v>2.8000000000000001E-2</v>
      </c>
      <c r="AV581">
        <v>3.2000000000000001E-2</v>
      </c>
      <c r="AW581">
        <v>3.6999999999999998E-2</v>
      </c>
      <c r="AX581">
        <v>3.6999999999999998E-2</v>
      </c>
      <c r="AY581">
        <v>3.1E-2</v>
      </c>
      <c r="BD5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7.1807951184200185</v>
      </c>
      <c r="BE5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12.382133517979385</v>
      </c>
      <c r="BF5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20.889585799040049</v>
      </c>
      <c r="BG5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29.69185078290975</v>
      </c>
      <c r="BH5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36.556775148320085</v>
      </c>
      <c r="BI5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37.904490361161379</v>
      </c>
      <c r="BJ5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38.515173816980095</v>
      </c>
      <c r="BK5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33.292777367220083</v>
      </c>
      <c r="BL5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23.374435722716186</v>
      </c>
      <c r="BM5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15.014389793060037</v>
      </c>
      <c r="BN5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6.9491565662129222</v>
      </c>
      <c r="BO5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5.8751960059800146</v>
      </c>
      <c r="BP581">
        <f>SUM(Таб[[#This Row],[1]:[12]])</f>
        <v>267.62675999999999</v>
      </c>
    </row>
    <row r="582" spans="2:68" ht="38.25">
      <c r="B582" t="s">
        <v>384</v>
      </c>
      <c r="C582" t="str">
        <f>IFERROR(VLOOKUP(Таб[[#This Row],[Зелений Тариф ЕЦ]],Sheet6!$H$9:$I$29,2,FALSE),"")</f>
        <v>Дах</v>
      </c>
      <c r="G582" s="1" t="s">
        <v>1486</v>
      </c>
      <c r="H582" t="s">
        <v>122</v>
      </c>
      <c r="J582" s="7">
        <v>0.76900000000000002</v>
      </c>
      <c r="K582" s="8"/>
      <c r="L582" s="8">
        <v>43441</v>
      </c>
      <c r="M582">
        <v>12</v>
      </c>
      <c r="N582" s="49" t="s">
        <v>71</v>
      </c>
      <c r="O582">
        <v>2018</v>
      </c>
      <c r="P582">
        <v>0.16370000000000001</v>
      </c>
      <c r="Q582" s="10"/>
      <c r="R582" s="11">
        <f>ROUND(Таб[[#This Row],[Зелений Тариф ЕЦ]]+Таб[[#This Row],[Зелений Тариф ЕЦ]]*Таб[[#This Row],[% надбавки]],4)</f>
        <v>0.16370000000000001</v>
      </c>
      <c r="S582" s="12"/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BD5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24.762472852309386</v>
      </c>
      <c r="BE5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42.698926795184512</v>
      </c>
      <c r="BF5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72.036284661263664</v>
      </c>
      <c r="BG5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102.39028364151389</v>
      </c>
      <c r="BH5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126.06349815721144</v>
      </c>
      <c r="BI5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130.71100039342198</v>
      </c>
      <c r="BJ5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132.8168998442049</v>
      </c>
      <c r="BK5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114.80782867888898</v>
      </c>
      <c r="BL5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80.605116909276902</v>
      </c>
      <c r="BM5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51.776079600283261</v>
      </c>
      <c r="BN5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23.963683405460699</v>
      </c>
      <c r="BO5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20.260205060980407</v>
      </c>
      <c r="BP582">
        <f>SUM(Таб[[#This Row],[1]:[12]])</f>
        <v>922.89228000000014</v>
      </c>
    </row>
    <row r="583" spans="2:68" ht="38.25">
      <c r="B583" t="s">
        <v>384</v>
      </c>
      <c r="C583" t="str">
        <f>IFERROR(VLOOKUP(Таб[[#This Row],[Зелений Тариф ЕЦ]],Sheet6!$H$9:$I$29,2,FALSE),"")</f>
        <v>Дах</v>
      </c>
      <c r="G583" s="1" t="s">
        <v>1489</v>
      </c>
      <c r="H583" t="s">
        <v>263</v>
      </c>
      <c r="J583" s="7">
        <v>0.122</v>
      </c>
      <c r="K583" s="8"/>
      <c r="L583" s="8">
        <v>42808</v>
      </c>
      <c r="M583">
        <v>3</v>
      </c>
      <c r="N583" s="49" t="s">
        <v>67</v>
      </c>
      <c r="O583">
        <v>2017</v>
      </c>
      <c r="P583">
        <v>0.17230000000000001</v>
      </c>
      <c r="Q583" s="10"/>
      <c r="R583" s="11">
        <f>ROUND(Таб[[#This Row],[Зелений Тариф ЕЦ]]+Таб[[#This Row],[Зелений Тариф ЕЦ]]*Таб[[#This Row],[% надбавки]],4)</f>
        <v>0.17230000000000001</v>
      </c>
      <c r="S583" s="12"/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0.02</v>
      </c>
      <c r="AL583">
        <v>1.7999999999999999E-2</v>
      </c>
      <c r="AM583">
        <v>0.02</v>
      </c>
      <c r="AN583">
        <v>1.0999999999999999E-2</v>
      </c>
      <c r="AO583">
        <v>8.9999999999999993E-3</v>
      </c>
      <c r="AP583">
        <v>3.0000000000000001E-3</v>
      </c>
      <c r="AQ583">
        <v>0</v>
      </c>
      <c r="AR583">
        <v>1E-3</v>
      </c>
      <c r="AS583">
        <v>5.0000000000000001E-3</v>
      </c>
      <c r="AT583">
        <v>0.01</v>
      </c>
      <c r="AU583">
        <v>1.6E-2</v>
      </c>
      <c r="AV583">
        <v>1.7999999999999999E-2</v>
      </c>
      <c r="AW583">
        <v>2.1000000000000001E-2</v>
      </c>
      <c r="AX583">
        <v>0</v>
      </c>
      <c r="AY583">
        <v>8.0000000000000002E-3</v>
      </c>
      <c r="BD5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3.9285067464001888</v>
      </c>
      <c r="BE5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6.7740820143205607</v>
      </c>
      <c r="BF5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11.428383262255094</v>
      </c>
      <c r="BG5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16.243972177197264</v>
      </c>
      <c r="BH5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19.999670708946418</v>
      </c>
      <c r="BI5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20.736985758124163</v>
      </c>
      <c r="BJ5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21.071081639782832</v>
      </c>
      <c r="BK5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18.213985824219058</v>
      </c>
      <c r="BL5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12.787807884176569</v>
      </c>
      <c r="BM5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8.2141504697458494</v>
      </c>
      <c r="BN5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3.8017807223227638</v>
      </c>
      <c r="BO5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3.2142327925092458</v>
      </c>
      <c r="BP583">
        <f>SUM(Таб[[#This Row],[1]:[12]])</f>
        <v>146.41464000000002</v>
      </c>
    </row>
    <row r="584" spans="2:68" ht="38.25">
      <c r="B584" t="s">
        <v>384</v>
      </c>
      <c r="C584" t="str">
        <f>IFERROR(VLOOKUP(Таб[[#This Row],[Зелений Тариф ЕЦ]],Sheet6!$H$9:$I$29,2,FALSE),"")</f>
        <v>Дах</v>
      </c>
      <c r="G584" s="1" t="s">
        <v>1492</v>
      </c>
      <c r="H584" t="s">
        <v>136</v>
      </c>
      <c r="J584" s="7">
        <v>0.22900000000000001</v>
      </c>
      <c r="K584" s="8"/>
      <c r="L584" s="8">
        <v>42831</v>
      </c>
      <c r="M584">
        <v>4</v>
      </c>
      <c r="N584" s="49" t="s">
        <v>57</v>
      </c>
      <c r="O584">
        <v>2017</v>
      </c>
      <c r="P584">
        <v>0.17230000000000001</v>
      </c>
      <c r="Q584" s="10"/>
      <c r="R584" s="11">
        <f>ROUND(Таб[[#This Row],[Зелений Тариф ЕЦ]]+Таб[[#This Row],[Зелений Тариф ЕЦ]]*Таб[[#This Row],[% надбавки]],4)</f>
        <v>0.17230000000000001</v>
      </c>
      <c r="S584" s="12"/>
      <c r="T584">
        <v>0</v>
      </c>
      <c r="U584">
        <v>0</v>
      </c>
      <c r="V584">
        <v>0</v>
      </c>
      <c r="W584">
        <v>0</v>
      </c>
      <c r="X584">
        <v>0</v>
      </c>
      <c r="Y584">
        <v>3.6999999999999998E-2</v>
      </c>
      <c r="Z584">
        <v>3.6999999999999998E-2</v>
      </c>
      <c r="AA584">
        <v>3.3000000000000002E-2</v>
      </c>
      <c r="AB584">
        <v>2.700000000000001E-2</v>
      </c>
      <c r="AC584">
        <v>1.1999999999999983E-2</v>
      </c>
      <c r="AD584">
        <v>4.0000000000000036E-3</v>
      </c>
      <c r="AE584">
        <v>3.0000000000000027E-3</v>
      </c>
      <c r="AF584">
        <v>4.0000000000000001E-3</v>
      </c>
      <c r="AG584">
        <v>5.0000000000000001E-3</v>
      </c>
      <c r="AH584">
        <v>1.2E-2</v>
      </c>
      <c r="AI584">
        <v>3.1E-2</v>
      </c>
      <c r="AJ584">
        <v>3.7999999999999999E-2</v>
      </c>
      <c r="AK584">
        <v>3.7999999999999999E-2</v>
      </c>
      <c r="AL584">
        <v>3.5000000000000003E-2</v>
      </c>
      <c r="AM584">
        <v>3.7999999999999999E-2</v>
      </c>
      <c r="AN584">
        <v>2.1999999999999999E-2</v>
      </c>
      <c r="AO584">
        <v>1.9E-2</v>
      </c>
      <c r="AP584">
        <v>6.0000000000000001E-3</v>
      </c>
      <c r="AQ584">
        <v>0</v>
      </c>
      <c r="AR584">
        <v>1E-3</v>
      </c>
      <c r="AS584">
        <v>8.0000000000000002E-3</v>
      </c>
      <c r="AT584">
        <v>0.02</v>
      </c>
      <c r="AU584">
        <v>0.03</v>
      </c>
      <c r="AV584">
        <v>3.3000000000000002E-2</v>
      </c>
      <c r="AW584">
        <v>3.7999999999999999E-2</v>
      </c>
      <c r="AX584">
        <v>3.6999999999999998E-2</v>
      </c>
      <c r="AY584">
        <v>3.4000000000000002E-2</v>
      </c>
      <c r="BD5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7.374000368242978</v>
      </c>
      <c r="BE5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12.715285092454167</v>
      </c>
      <c r="BF5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21.45163743488866</v>
      </c>
      <c r="BG5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30.490734660476829</v>
      </c>
      <c r="BH5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37.540365511055164</v>
      </c>
      <c r="BI5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38.924342119757654</v>
      </c>
      <c r="BJ5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39.551456520575975</v>
      </c>
      <c r="BK5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34.188547161853805</v>
      </c>
      <c r="BL5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24.003344307183887</v>
      </c>
      <c r="BM5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15.418364406326226</v>
      </c>
      <c r="BN5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7.136129388622237</v>
      </c>
      <c r="BO5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6.0332730285624363</v>
      </c>
      <c r="BP584">
        <f>SUM(Таб[[#This Row],[1]:[12]])</f>
        <v>274.82748000000004</v>
      </c>
    </row>
    <row r="585" spans="2:68" ht="38.25">
      <c r="B585" t="s">
        <v>384</v>
      </c>
      <c r="C585" t="str">
        <f>IFERROR(VLOOKUP(Таб[[#This Row],[Зелений Тариф ЕЦ]],Sheet6!$H$9:$I$29,2,FALSE),"")</f>
        <v>Дах</v>
      </c>
      <c r="G585" s="1" t="s">
        <v>1495</v>
      </c>
      <c r="H585" t="s">
        <v>198</v>
      </c>
      <c r="J585" s="7">
        <v>0.60599999999999998</v>
      </c>
      <c r="K585" s="8"/>
      <c r="L585" s="8">
        <v>43389</v>
      </c>
      <c r="M585">
        <v>10</v>
      </c>
      <c r="N585" s="49" t="s">
        <v>71</v>
      </c>
      <c r="O585">
        <v>2018</v>
      </c>
      <c r="P585">
        <v>0.16370000000000001</v>
      </c>
      <c r="Q585" s="10"/>
      <c r="R585" s="11">
        <f>ROUND(Таб[[#This Row],[Зелений Тариф ЕЦ]]+Таб[[#This Row],[Зелений Тариф ЕЦ]]*Таб[[#This Row],[% надбавки]],4)</f>
        <v>0.16370000000000001</v>
      </c>
      <c r="S585" s="12"/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3.5000000000000003E-2</v>
      </c>
      <c r="AQ585">
        <v>3.0000000000000001E-3</v>
      </c>
      <c r="AR585">
        <v>4.0000000000000001E-3</v>
      </c>
      <c r="AS585">
        <v>2.3E-2</v>
      </c>
      <c r="AT585">
        <v>5.0999999999999997E-2</v>
      </c>
      <c r="AU585">
        <v>7.6999999999999999E-2</v>
      </c>
      <c r="AV585">
        <v>7.9000000000000001E-2</v>
      </c>
      <c r="AW585">
        <v>0.10100000000000001</v>
      </c>
      <c r="AX585">
        <v>9.0999999999999998E-2</v>
      </c>
      <c r="AY585">
        <v>0.09</v>
      </c>
      <c r="BD5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19.513730232118974</v>
      </c>
      <c r="BE5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33.648309021952947</v>
      </c>
      <c r="BF5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56.76721522070973</v>
      </c>
      <c r="BG5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80.687271634274921</v>
      </c>
      <c r="BH5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99.342626636242017</v>
      </c>
      <c r="BI5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103.00502761822332</v>
      </c>
      <c r="BJ5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104.66455306318358</v>
      </c>
      <c r="BK5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90.472749258006132</v>
      </c>
      <c r="BL5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63.519767031237706</v>
      </c>
      <c r="BM5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40.80143593988511</v>
      </c>
      <c r="BN5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18.884255063340945</v>
      </c>
      <c r="BO5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15.965779280824613</v>
      </c>
      <c r="BP585">
        <f>SUM(Таб[[#This Row],[1]:[12]])</f>
        <v>727.27271999999994</v>
      </c>
    </row>
    <row r="586" spans="2:68" ht="25.5">
      <c r="B586" t="s">
        <v>384</v>
      </c>
      <c r="C586" t="str">
        <f>IFERROR(VLOOKUP(Таб[[#This Row],[Зелений Тариф ЕЦ]],Sheet6!$H$9:$I$29,2,FALSE),"")</f>
        <v>Дах</v>
      </c>
      <c r="G586" s="1" t="s">
        <v>1497</v>
      </c>
      <c r="H586" t="s">
        <v>65</v>
      </c>
      <c r="J586" s="7">
        <v>0.35</v>
      </c>
      <c r="K586" s="8"/>
      <c r="L586" s="8">
        <v>43455</v>
      </c>
      <c r="M586">
        <v>12</v>
      </c>
      <c r="N586" s="49" t="s">
        <v>71</v>
      </c>
      <c r="O586">
        <v>2018</v>
      </c>
      <c r="P586">
        <v>0.16370000000000001</v>
      </c>
      <c r="Q586" s="10"/>
      <c r="R586" s="11">
        <f>ROUND(Таб[[#This Row],[Зелений Тариф ЕЦ]]+Таб[[#This Row],[Зелений Тариф ЕЦ]]*Таб[[#This Row],[% надбавки]],4)</f>
        <v>0.16370000000000001</v>
      </c>
      <c r="S586" s="12"/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1E-3</v>
      </c>
      <c r="AS586">
        <v>1.0999999999999999E-2</v>
      </c>
      <c r="AT586">
        <v>2.9000000000000001E-2</v>
      </c>
      <c r="AU586">
        <v>3.3000000000000002E-2</v>
      </c>
      <c r="AV586">
        <v>3.2000000000000001E-2</v>
      </c>
      <c r="AW586">
        <v>4.2999999999999997E-2</v>
      </c>
      <c r="AX586">
        <v>4.5999999999999999E-2</v>
      </c>
      <c r="AY586">
        <v>3.7999999999999999E-2</v>
      </c>
      <c r="BD5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11.270306239672674</v>
      </c>
      <c r="BE5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19.433841844362263</v>
      </c>
      <c r="BF5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32.786345424502315</v>
      </c>
      <c r="BG5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46.601559524746243</v>
      </c>
      <c r="BH5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57.376104492879051</v>
      </c>
      <c r="BI5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59.491352584782447</v>
      </c>
      <c r="BJ5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60.44982437642615</v>
      </c>
      <c r="BK5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52.253238020300564</v>
      </c>
      <c r="BL5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36.686334093949171</v>
      </c>
      <c r="BM5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23.565185773861039</v>
      </c>
      <c r="BN5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10.906747973876781</v>
      </c>
      <c r="BO5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9.2211596506412778</v>
      </c>
      <c r="BP586">
        <f>SUM(Таб[[#This Row],[1]:[12]])</f>
        <v>420.04200000000003</v>
      </c>
    </row>
    <row r="587" spans="2:68" ht="38.25">
      <c r="B587" t="s">
        <v>384</v>
      </c>
      <c r="C587" t="str">
        <f>IFERROR(VLOOKUP(Таб[[#This Row],[Зелений Тариф ЕЦ]],Sheet6!$H$9:$I$29,2,FALSE),"")</f>
        <v>Дах</v>
      </c>
      <c r="G587" s="1" t="s">
        <v>1499</v>
      </c>
      <c r="H587" t="s">
        <v>65</v>
      </c>
      <c r="J587" s="7">
        <v>1.391</v>
      </c>
      <c r="K587" s="8"/>
      <c r="L587" s="8">
        <v>43396</v>
      </c>
      <c r="M587">
        <v>10</v>
      </c>
      <c r="N587" s="49" t="s">
        <v>71</v>
      </c>
      <c r="O587">
        <v>2018</v>
      </c>
      <c r="P587">
        <v>0.16370000000000001</v>
      </c>
      <c r="Q587" s="10"/>
      <c r="R587" s="11">
        <f>ROUND(Таб[[#This Row],[Зелений Тариф ЕЦ]]+Таб[[#This Row],[Зелений Тариф ЕЦ]]*Таб[[#This Row],[% надбавки]],4)</f>
        <v>0.16370000000000001</v>
      </c>
      <c r="S587" s="12"/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0.104</v>
      </c>
      <c r="AP587">
        <v>2.1000000000000001E-2</v>
      </c>
      <c r="AQ587">
        <v>2E-3</v>
      </c>
      <c r="AR587">
        <v>5.0000000000000001E-3</v>
      </c>
      <c r="AS587">
        <v>4.4999999999999998E-2</v>
      </c>
      <c r="AT587">
        <v>0.107</v>
      </c>
      <c r="AU587">
        <v>0.13900000000000001</v>
      </c>
      <c r="AV587">
        <v>0.14699999999999999</v>
      </c>
      <c r="AW587">
        <v>0.20399999999999999</v>
      </c>
      <c r="AX587">
        <v>0.19800000000000001</v>
      </c>
      <c r="AY587">
        <v>0.17899999999999999</v>
      </c>
      <c r="BD5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44.791417083956262</v>
      </c>
      <c r="BE5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77.235640015736877</v>
      </c>
      <c r="BF5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130.30230424423638</v>
      </c>
      <c r="BG5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185.20791228263434</v>
      </c>
      <c r="BH5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228.02903242741365</v>
      </c>
      <c r="BI5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236.43563270123531</v>
      </c>
      <c r="BJ5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240.24487345031076</v>
      </c>
      <c r="BK5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207.66929738925171</v>
      </c>
      <c r="BL5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145.80197349909514</v>
      </c>
      <c r="BM5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93.654781175544883</v>
      </c>
      <c r="BN5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43.34653266189315</v>
      </c>
      <c r="BO5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36.647523068691477</v>
      </c>
      <c r="BP587">
        <f>SUM(Таб[[#This Row],[1]:[12]])</f>
        <v>1669.3669199999999</v>
      </c>
    </row>
    <row r="588" spans="2:68" ht="25.5">
      <c r="B588" t="s">
        <v>384</v>
      </c>
      <c r="C588" t="str">
        <f>IFERROR(VLOOKUP(Таб[[#This Row],[Зелений Тариф ЕЦ]],Sheet6!$H$9:$I$29,2,FALSE),"")</f>
        <v>Дах</v>
      </c>
      <c r="G588" s="1" t="s">
        <v>617</v>
      </c>
      <c r="H588" t="s">
        <v>107</v>
      </c>
      <c r="J588" s="7">
        <v>0.88200000000000001</v>
      </c>
      <c r="K588" s="8"/>
      <c r="L588" s="8">
        <v>43596</v>
      </c>
      <c r="M588">
        <v>5</v>
      </c>
      <c r="N588" s="49" t="s">
        <v>57</v>
      </c>
      <c r="O588">
        <v>2019</v>
      </c>
      <c r="P588">
        <v>0.16370000000000001</v>
      </c>
      <c r="Q588" s="10"/>
      <c r="R588" s="11">
        <f>ROUND(Таб[[#This Row],[Зелений Тариф ЕЦ]]+Таб[[#This Row],[Зелений Тариф ЕЦ]]*Таб[[#This Row],[% надбавки]],4)</f>
        <v>0.16370000000000001</v>
      </c>
      <c r="S588" s="12"/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0.121</v>
      </c>
      <c r="BD5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28.401171723975139</v>
      </c>
      <c r="BE5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48.973281447792907</v>
      </c>
      <c r="BF5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82.62159046974584</v>
      </c>
      <c r="BG5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117.43593000236052</v>
      </c>
      <c r="BH5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144.58778332205523</v>
      </c>
      <c r="BI5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149.91820851365173</v>
      </c>
      <c r="BJ5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152.33355742859391</v>
      </c>
      <c r="BK5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131.67815981115746</v>
      </c>
      <c r="BL5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92.449561916751918</v>
      </c>
      <c r="BM5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59.384268150129827</v>
      </c>
      <c r="BN5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27.485004894169485</v>
      </c>
      <c r="BO5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23.23732231961602</v>
      </c>
      <c r="BP588">
        <f>SUM(Таб[[#This Row],[1]:[12]])</f>
        <v>1058.5058399999998</v>
      </c>
    </row>
    <row r="589" spans="2:68" ht="25.5">
      <c r="B589" t="s">
        <v>384</v>
      </c>
      <c r="C589" t="str">
        <f>IFERROR(VLOOKUP(Таб[[#This Row],[Зелений Тариф ЕЦ]],Sheet6!$H$9:$I$29,2,FALSE),"")</f>
        <v>Дах</v>
      </c>
      <c r="G589" s="1" t="s">
        <v>1503</v>
      </c>
      <c r="H589" t="s">
        <v>73</v>
      </c>
      <c r="J589" s="7">
        <v>0.60099999999999998</v>
      </c>
      <c r="K589" s="8"/>
      <c r="L589" s="8">
        <v>42787</v>
      </c>
      <c r="M589">
        <v>2</v>
      </c>
      <c r="N589" s="49" t="s">
        <v>67</v>
      </c>
      <c r="O589">
        <v>2017</v>
      </c>
      <c r="P589">
        <v>0.17230000000000001</v>
      </c>
      <c r="Q589" s="10"/>
      <c r="R589" s="11">
        <f>ROUND(Таб[[#This Row],[Зелений Тариф ЕЦ]]+Таб[[#This Row],[Зелений Тариф ЕЦ]]*Таб[[#This Row],[% надбавки]],4)</f>
        <v>0.17230000000000001</v>
      </c>
      <c r="S589" s="12"/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5.8000000000000003E-2</v>
      </c>
      <c r="AA589">
        <v>8.0000000000000016E-2</v>
      </c>
      <c r="AB589">
        <v>6.5999999999999975E-2</v>
      </c>
      <c r="AC589">
        <v>3.3000000000000002E-2</v>
      </c>
      <c r="AD589">
        <v>1.7000000000000015E-2</v>
      </c>
      <c r="AE589">
        <v>1.2000000000000011E-2</v>
      </c>
      <c r="AF589">
        <v>1.4E-2</v>
      </c>
      <c r="AG589">
        <v>2.1000000000000001E-2</v>
      </c>
      <c r="AH589">
        <v>3.9E-2</v>
      </c>
      <c r="AI589">
        <v>8.4000000000000005E-2</v>
      </c>
      <c r="AJ589">
        <v>9.5000000000000001E-2</v>
      </c>
      <c r="AK589">
        <v>0.1</v>
      </c>
      <c r="AL589">
        <v>9.2999999999999999E-2</v>
      </c>
      <c r="AM589">
        <v>9.1999999999999998E-2</v>
      </c>
      <c r="AN589">
        <v>5.6000000000000001E-2</v>
      </c>
      <c r="AO589">
        <v>4.8000000000000001E-2</v>
      </c>
      <c r="AP589">
        <v>1.7000000000000001E-2</v>
      </c>
      <c r="AQ589">
        <v>8.9999999999999993E-3</v>
      </c>
      <c r="AR589">
        <v>1.2999999999999999E-2</v>
      </c>
      <c r="AS589">
        <v>2.5000000000000001E-2</v>
      </c>
      <c r="AT589">
        <v>5.8999999999999997E-2</v>
      </c>
      <c r="AU589">
        <v>7.5999999999999998E-2</v>
      </c>
      <c r="AV589">
        <v>8.6999999999999994E-2</v>
      </c>
      <c r="AW589">
        <v>9.8000000000000004E-2</v>
      </c>
      <c r="AX589">
        <v>0.10100000000000001</v>
      </c>
      <c r="AY589">
        <v>8.6999999999999994E-2</v>
      </c>
      <c r="BD5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19.352725857266506</v>
      </c>
      <c r="BE5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33.370682709890623</v>
      </c>
      <c r="BF5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56.29883885750256</v>
      </c>
      <c r="BG5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80.021535069635689</v>
      </c>
      <c r="BH5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98.522968000629476</v>
      </c>
      <c r="BI5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102.15515115272642</v>
      </c>
      <c r="BJ5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103.80098414352034</v>
      </c>
      <c r="BK5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89.726274429144709</v>
      </c>
      <c r="BL5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62.995676544181293</v>
      </c>
      <c r="BM5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40.464790428829957</v>
      </c>
      <c r="BN5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18.728444377999846</v>
      </c>
      <c r="BO5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15.834048428672594</v>
      </c>
      <c r="BP589">
        <f>SUM(Таб[[#This Row],[1]:[12]])</f>
        <v>721.27211999999997</v>
      </c>
    </row>
    <row r="590" spans="2:68" ht="38.25">
      <c r="B590" t="s">
        <v>384</v>
      </c>
      <c r="C590" t="str">
        <f>IFERROR(VLOOKUP(Таб[[#This Row],[Зелений Тариф ЕЦ]],Sheet6!$H$9:$I$29,2,FALSE),"")</f>
        <v>Дах</v>
      </c>
      <c r="G590" s="1" t="s">
        <v>1505</v>
      </c>
      <c r="H590" t="s">
        <v>62</v>
      </c>
      <c r="J590" s="7">
        <v>0.09</v>
      </c>
      <c r="K590" s="8"/>
      <c r="L590" s="8">
        <v>43613</v>
      </c>
      <c r="M590">
        <v>5</v>
      </c>
      <c r="N590" s="49" t="s">
        <v>57</v>
      </c>
      <c r="O590">
        <v>2019</v>
      </c>
      <c r="P590">
        <v>0.16370000000000001</v>
      </c>
      <c r="Q590" s="10"/>
      <c r="R590" s="11">
        <f>ROUND(Таб[[#This Row],[Зелений Тариф ЕЦ]]+Таб[[#This Row],[Зелений Тариф ЕЦ]]*Таб[[#This Row],[% надбавки]],4)</f>
        <v>0.16370000000000001</v>
      </c>
      <c r="S590" s="12"/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2E-3</v>
      </c>
      <c r="AX590">
        <v>1.2E-2</v>
      </c>
      <c r="AY590">
        <v>1.2999999999999999E-2</v>
      </c>
      <c r="BD5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2.8980787473444019</v>
      </c>
      <c r="BE5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4.9972736171217242</v>
      </c>
      <c r="BF5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8.4307745377291674</v>
      </c>
      <c r="BG5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11.983258163506175</v>
      </c>
      <c r="BH5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14.753855441026044</v>
      </c>
      <c r="BI5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15.297776378944054</v>
      </c>
      <c r="BJ5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15.544240553938153</v>
      </c>
      <c r="BK5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13.436546919505862</v>
      </c>
      <c r="BL5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9.4336287670155023</v>
      </c>
      <c r="BM5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6.0596191989928379</v>
      </c>
      <c r="BN5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2.804592336139744</v>
      </c>
      <c r="BO5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2.3711553387363287</v>
      </c>
      <c r="BP590">
        <f>SUM(Таб[[#This Row],[1]:[12]])</f>
        <v>108.01079999999999</v>
      </c>
    </row>
    <row r="591" spans="2:68">
      <c r="B591" t="s">
        <v>384</v>
      </c>
      <c r="C591" t="str">
        <f>IFERROR(VLOOKUP(Таб[[#This Row],[Зелений Тариф ЕЦ]],Sheet6!$H$9:$I$29,2,FALSE),"")</f>
        <v>Дах</v>
      </c>
      <c r="G591" s="1" t="s">
        <v>1507</v>
      </c>
      <c r="H591" t="s">
        <v>122</v>
      </c>
      <c r="J591" s="7">
        <v>0.13900000000000001</v>
      </c>
      <c r="K591" s="8"/>
      <c r="L591" s="8">
        <v>43243</v>
      </c>
      <c r="M591">
        <v>5</v>
      </c>
      <c r="N591" s="49" t="s">
        <v>57</v>
      </c>
      <c r="O591">
        <v>2018</v>
      </c>
      <c r="P591">
        <v>0.16370000000000001</v>
      </c>
      <c r="Q591" s="10"/>
      <c r="R591" s="11">
        <f>ROUND(Таб[[#This Row],[Зелений Тариф ЕЦ]]+Таб[[#This Row],[Зелений Тариф ЕЦ]]*Таб[[#This Row],[% надбавки]],4)</f>
        <v>0.16370000000000001</v>
      </c>
      <c r="S591" s="12"/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BD5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4.4759216208985766</v>
      </c>
      <c r="BE5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7.7180114753324416</v>
      </c>
      <c r="BF5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13.020862897159493</v>
      </c>
      <c r="BG5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18.507476496970654</v>
      </c>
      <c r="BH5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22.786510070029117</v>
      </c>
      <c r="BI5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23.6265657408136</v>
      </c>
      <c r="BJ5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24.007215966637816</v>
      </c>
      <c r="BK5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20.752000242347947</v>
      </c>
      <c r="BL5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14.569715540168387</v>
      </c>
      <c r="BM5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9.358745207333385</v>
      </c>
      <c r="BN5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4.3315370524824939</v>
      </c>
      <c r="BO5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3.6621176898261076</v>
      </c>
      <c r="BP591">
        <f>SUM(Таб[[#This Row],[1]:[12]])</f>
        <v>166.81668000000002</v>
      </c>
    </row>
    <row r="592" spans="2:68" ht="38.25">
      <c r="B592" t="s">
        <v>384</v>
      </c>
      <c r="C592" t="str">
        <f>IFERROR(VLOOKUP(Таб[[#This Row],[Зелений Тариф ЕЦ]],Sheet6!$H$9:$I$29,2,FALSE),"")</f>
        <v>Дах</v>
      </c>
      <c r="G592" s="1" t="s">
        <v>1509</v>
      </c>
      <c r="H592" t="s">
        <v>172</v>
      </c>
      <c r="J592" s="7">
        <v>0.15</v>
      </c>
      <c r="K592" s="8"/>
      <c r="L592" s="8">
        <v>43396</v>
      </c>
      <c r="M592">
        <v>10</v>
      </c>
      <c r="N592" s="49" t="s">
        <v>71</v>
      </c>
      <c r="O592">
        <v>2018</v>
      </c>
      <c r="P592">
        <v>0.16370000000000001</v>
      </c>
      <c r="Q592" s="10"/>
      <c r="R592" s="11">
        <f>ROUND(Таб[[#This Row],[Зелений Тариф ЕЦ]]+Таб[[#This Row],[Зелений Тариф ЕЦ]]*Таб[[#This Row],[% надбавки]],4)</f>
        <v>0.16370000000000001</v>
      </c>
      <c r="S592" s="12"/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2E-3</v>
      </c>
      <c r="AQ592">
        <v>0</v>
      </c>
      <c r="AR592">
        <v>1E-3</v>
      </c>
      <c r="AS592">
        <v>7.0000000000000001E-3</v>
      </c>
      <c r="AT592">
        <v>1.0999999999999999E-2</v>
      </c>
      <c r="AU592">
        <v>1.9E-2</v>
      </c>
      <c r="AV592">
        <v>1.6E-2</v>
      </c>
      <c r="AW592">
        <v>2.4E-2</v>
      </c>
      <c r="AX592">
        <v>2.3E-2</v>
      </c>
      <c r="AY592">
        <v>2.3E-2</v>
      </c>
      <c r="BD5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4.8301312455740035</v>
      </c>
      <c r="BE5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8.328789361869541</v>
      </c>
      <c r="BF5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14.051290896215281</v>
      </c>
      <c r="BG5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19.972096939176961</v>
      </c>
      <c r="BH5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24.589759068376736</v>
      </c>
      <c r="BI5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25.496293964906759</v>
      </c>
      <c r="BJ5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25.907067589896926</v>
      </c>
      <c r="BK5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22.394244865843106</v>
      </c>
      <c r="BL5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15.722714611692503</v>
      </c>
      <c r="BM5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10.099365331654733</v>
      </c>
      <c r="BN5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4.6743205602329061</v>
      </c>
      <c r="BO5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3.9519255645605478</v>
      </c>
      <c r="BP592">
        <f>SUM(Таб[[#This Row],[1]:[12]])</f>
        <v>180.018</v>
      </c>
    </row>
    <row r="593" spans="2:68" ht="38.25">
      <c r="B593" t="s">
        <v>384</v>
      </c>
      <c r="C593" t="str">
        <f>IFERROR(VLOOKUP(Таб[[#This Row],[Зелений Тариф ЕЦ]],Sheet6!$H$9:$I$29,2,FALSE),"")</f>
        <v>Дах</v>
      </c>
      <c r="G593" s="1" t="s">
        <v>1512</v>
      </c>
      <c r="H593" t="s">
        <v>122</v>
      </c>
      <c r="J593" s="7">
        <v>0.2</v>
      </c>
      <c r="K593" s="8"/>
      <c r="L593" s="8">
        <v>42753</v>
      </c>
      <c r="M593">
        <v>1</v>
      </c>
      <c r="N593" s="49" t="s">
        <v>67</v>
      </c>
      <c r="O593">
        <v>2017</v>
      </c>
      <c r="P593">
        <v>0.17230000000000001</v>
      </c>
      <c r="Q593" s="10"/>
      <c r="R593" s="11">
        <f>ROUND(Таб[[#This Row],[Зелений Тариф ЕЦ]]+Таб[[#This Row],[Зелений Тариф ЕЦ]]*Таб[[#This Row],[% надбавки]],4)</f>
        <v>0.17230000000000001</v>
      </c>
      <c r="S593" s="12"/>
      <c r="T593">
        <v>0</v>
      </c>
      <c r="U593">
        <v>0</v>
      </c>
      <c r="V593">
        <v>0</v>
      </c>
      <c r="W593">
        <v>0</v>
      </c>
      <c r="X593">
        <v>3.1E-2</v>
      </c>
      <c r="Y593">
        <v>2.7000000000000003E-2</v>
      </c>
      <c r="Z593">
        <v>2.8999999999999991E-2</v>
      </c>
      <c r="AA593">
        <v>2.6000000000000009E-2</v>
      </c>
      <c r="AB593">
        <v>2.2000000000000006E-2</v>
      </c>
      <c r="AC593">
        <v>7.9999999999999793E-3</v>
      </c>
      <c r="AD593">
        <v>5.0000000000000044E-3</v>
      </c>
      <c r="AE593">
        <v>2.0000000000000018E-3</v>
      </c>
      <c r="AF593">
        <v>1E-3</v>
      </c>
      <c r="AG593">
        <v>6.0000000000000001E-3</v>
      </c>
      <c r="AH593">
        <v>7.0000000000000001E-3</v>
      </c>
      <c r="AI593">
        <v>2.5000000000000001E-2</v>
      </c>
      <c r="AJ593">
        <v>0.03</v>
      </c>
      <c r="AK593">
        <v>3.2000000000000001E-2</v>
      </c>
      <c r="AL593">
        <v>2.8000000000000001E-2</v>
      </c>
      <c r="AM593">
        <v>2.9000000000000001E-2</v>
      </c>
      <c r="AN593">
        <v>1.7999999999999999E-2</v>
      </c>
      <c r="AO593">
        <v>1.4E-2</v>
      </c>
      <c r="AP593">
        <v>5.0000000000000001E-3</v>
      </c>
      <c r="AQ593">
        <v>0</v>
      </c>
      <c r="AR593">
        <v>0</v>
      </c>
      <c r="AS593">
        <v>6.0000000000000001E-3</v>
      </c>
      <c r="AT593">
        <v>1.6E-2</v>
      </c>
      <c r="AU593">
        <v>2.4E-2</v>
      </c>
      <c r="AV593">
        <v>2.8000000000000001E-2</v>
      </c>
      <c r="AW593">
        <v>3.5000000000000003E-2</v>
      </c>
      <c r="AX593">
        <v>3.5000000000000003E-2</v>
      </c>
      <c r="AY593">
        <v>0.03</v>
      </c>
      <c r="BD5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6.4401749940986726</v>
      </c>
      <c r="BE5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11.105052482492724</v>
      </c>
      <c r="BF5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18.735054528287041</v>
      </c>
      <c r="BG5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26.629462585569279</v>
      </c>
      <c r="BH5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32.786345424502322</v>
      </c>
      <c r="BI5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33.995058619875678</v>
      </c>
      <c r="BJ5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34.542756786529232</v>
      </c>
      <c r="BK5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29.858993154457472</v>
      </c>
      <c r="BL5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20.963619482256675</v>
      </c>
      <c r="BM5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13.465820442206311</v>
      </c>
      <c r="BN5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6.232427413643876</v>
      </c>
      <c r="BO5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5.269234086080731</v>
      </c>
      <c r="BP593">
        <f>SUM(Таб[[#This Row],[1]:[12]])</f>
        <v>240.02399999999997</v>
      </c>
    </row>
    <row r="594" spans="2:68" ht="25.5">
      <c r="B594" t="s">
        <v>384</v>
      </c>
      <c r="C594" t="str">
        <f>IFERROR(VLOOKUP(Таб[[#This Row],[Зелений Тариф ЕЦ]],Sheet6!$H$9:$I$29,2,FALSE),"")</f>
        <v>Дах</v>
      </c>
      <c r="G594" s="1" t="s">
        <v>719</v>
      </c>
      <c r="H594" t="s">
        <v>1465</v>
      </c>
      <c r="J594" s="7">
        <v>0.13900000000000001</v>
      </c>
      <c r="K594" s="8"/>
      <c r="L594" s="8">
        <v>43627</v>
      </c>
      <c r="M594">
        <v>6</v>
      </c>
      <c r="N594" s="49" t="s">
        <v>57</v>
      </c>
      <c r="O594">
        <v>2019</v>
      </c>
      <c r="P594">
        <v>0.16370000000000001</v>
      </c>
      <c r="Q594" s="10"/>
      <c r="R594" s="11">
        <f>ROUND(Таб[[#This Row],[Зелений Тариф ЕЦ]]+Таб[[#This Row],[Зелений Тариф ЕЦ]]*Таб[[#This Row],[% надбавки]],4)</f>
        <v>0.16370000000000001</v>
      </c>
      <c r="S594" s="12"/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1.2E-2</v>
      </c>
      <c r="BD5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4.4759216208985766</v>
      </c>
      <c r="BE5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7.7180114753324416</v>
      </c>
      <c r="BF5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13.020862897159493</v>
      </c>
      <c r="BG5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18.507476496970654</v>
      </c>
      <c r="BH5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22.786510070029117</v>
      </c>
      <c r="BI5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23.6265657408136</v>
      </c>
      <c r="BJ5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24.007215966637816</v>
      </c>
      <c r="BK5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20.752000242347947</v>
      </c>
      <c r="BL5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14.569715540168387</v>
      </c>
      <c r="BM5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9.358745207333385</v>
      </c>
      <c r="BN5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4.3315370524824939</v>
      </c>
      <c r="BO5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3.6621176898261076</v>
      </c>
      <c r="BP594">
        <f>SUM(Таб[[#This Row],[1]:[12]])</f>
        <v>166.81668000000002</v>
      </c>
    </row>
    <row r="595" spans="2:68" ht="38.25">
      <c r="B595" t="s">
        <v>384</v>
      </c>
      <c r="C595" t="str">
        <f>IFERROR(VLOOKUP(Таб[[#This Row],[Зелений Тариф ЕЦ]],Sheet6!$H$9:$I$29,2,FALSE),"")</f>
        <v>Дах</v>
      </c>
      <c r="G595" s="1" t="s">
        <v>1515</v>
      </c>
      <c r="H595" t="s">
        <v>73</v>
      </c>
      <c r="J595" s="7">
        <v>0.4</v>
      </c>
      <c r="K595" s="8"/>
      <c r="L595" s="8">
        <v>42887</v>
      </c>
      <c r="M595">
        <v>6</v>
      </c>
      <c r="N595" s="49" t="s">
        <v>57</v>
      </c>
      <c r="O595">
        <v>2017</v>
      </c>
      <c r="P595">
        <v>0.16370000000000001</v>
      </c>
      <c r="Q595" s="10"/>
      <c r="R595" s="11">
        <f>ROUND(Таб[[#This Row],[Зелений Тариф ЕЦ]]+Таб[[#This Row],[Зелений Тариф ЕЦ]]*Таб[[#This Row],[% надбавки]],4)</f>
        <v>0.16370000000000001</v>
      </c>
      <c r="S595" s="12"/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5.3999999999999999E-2</v>
      </c>
      <c r="AK595">
        <v>0.05</v>
      </c>
      <c r="AL595">
        <v>4.9000000000000002E-2</v>
      </c>
      <c r="AM595">
        <v>5.2999999999999999E-2</v>
      </c>
      <c r="AN595">
        <v>3.5000000000000003E-2</v>
      </c>
      <c r="AO595">
        <v>0.03</v>
      </c>
      <c r="AP595">
        <v>0.01</v>
      </c>
      <c r="AQ595">
        <v>5.0000000000000001E-3</v>
      </c>
      <c r="AR595">
        <v>6.0000000000000001E-3</v>
      </c>
      <c r="AS595">
        <v>1.2E-2</v>
      </c>
      <c r="AT595">
        <v>3.3000000000000002E-2</v>
      </c>
      <c r="AU595">
        <v>4.4999999999999998E-2</v>
      </c>
      <c r="AV595">
        <v>4.7E-2</v>
      </c>
      <c r="AW595">
        <v>5.0999999999999997E-2</v>
      </c>
      <c r="AX595">
        <v>6.7000000000000004E-2</v>
      </c>
      <c r="AY595">
        <v>6.2E-2</v>
      </c>
      <c r="BD5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12.880349988197345</v>
      </c>
      <c r="BE5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22.210104964985447</v>
      </c>
      <c r="BF5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37.470109056574081</v>
      </c>
      <c r="BG5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53.258925171138557</v>
      </c>
      <c r="BH5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65.572690849004644</v>
      </c>
      <c r="BI5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67.990117239751356</v>
      </c>
      <c r="BJ5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69.085513573058464</v>
      </c>
      <c r="BK5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59.717986308914945</v>
      </c>
      <c r="BL5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41.92723896451335</v>
      </c>
      <c r="BM5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26.931640884412623</v>
      </c>
      <c r="BN5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12.464854827287752</v>
      </c>
      <c r="BO5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10.538468172161462</v>
      </c>
      <c r="BP595">
        <f>SUM(Таб[[#This Row],[1]:[12]])</f>
        <v>480.04799999999994</v>
      </c>
    </row>
    <row r="596" spans="2:68" ht="38.25">
      <c r="B596" t="s">
        <v>384</v>
      </c>
      <c r="C596" t="str">
        <f>IFERROR(VLOOKUP(Таб[[#This Row],[Зелений Тариф ЕЦ]],Sheet6!$H$9:$I$29,2,FALSE),"")</f>
        <v>Дах</v>
      </c>
      <c r="G596" s="1" t="s">
        <v>1517</v>
      </c>
      <c r="H596" t="s">
        <v>107</v>
      </c>
      <c r="J596" s="7">
        <v>0.24</v>
      </c>
      <c r="K596" s="8"/>
      <c r="L596" s="8">
        <v>42753</v>
      </c>
      <c r="M596">
        <v>1</v>
      </c>
      <c r="N596" s="49" t="s">
        <v>67</v>
      </c>
      <c r="O596">
        <v>2017</v>
      </c>
      <c r="P596">
        <v>0.17230000000000001</v>
      </c>
      <c r="Q596" s="10"/>
      <c r="R596" s="11">
        <f>ROUND(Таб[[#This Row],[Зелений Тариф ЕЦ]]+Таб[[#This Row],[Зелений Тариф ЕЦ]]*Таб[[#This Row],[% надбавки]],4)</f>
        <v>0.17230000000000001</v>
      </c>
      <c r="S596" s="12"/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0.03</v>
      </c>
      <c r="AB596">
        <v>2.6000000000000002E-2</v>
      </c>
      <c r="AC596">
        <v>1.1000000000000003E-2</v>
      </c>
      <c r="AD596">
        <v>4.9999999999999906E-3</v>
      </c>
      <c r="AE596">
        <v>2.0000000000000018E-3</v>
      </c>
      <c r="AF596">
        <v>7.0000000000000001E-3</v>
      </c>
      <c r="AG596">
        <v>7.0000000000000001E-3</v>
      </c>
      <c r="AH596">
        <v>1.6E-2</v>
      </c>
      <c r="AI596">
        <v>3.2000000000000001E-2</v>
      </c>
      <c r="AJ596">
        <v>3.5000000000000003E-2</v>
      </c>
      <c r="AK596">
        <v>0.03</v>
      </c>
      <c r="AL596">
        <v>2.7E-2</v>
      </c>
      <c r="AM596">
        <v>3.4000000000000002E-2</v>
      </c>
      <c r="AN596">
        <v>2.5000000000000001E-2</v>
      </c>
      <c r="AO596">
        <v>2.1000000000000001E-2</v>
      </c>
      <c r="AP596">
        <v>8.0000000000000002E-3</v>
      </c>
      <c r="AQ596">
        <v>1E-3</v>
      </c>
      <c r="AR596">
        <v>4.0000000000000001E-3</v>
      </c>
      <c r="AS596">
        <v>1.0999999999999999E-2</v>
      </c>
      <c r="AT596">
        <v>2.1000000000000001E-2</v>
      </c>
      <c r="AU596">
        <v>2.9000000000000001E-2</v>
      </c>
      <c r="AV596">
        <v>2.9000000000000001E-2</v>
      </c>
      <c r="AW596">
        <v>3.3000000000000002E-2</v>
      </c>
      <c r="AX596">
        <v>0</v>
      </c>
      <c r="AY596">
        <v>2.5000000000000001E-2</v>
      </c>
      <c r="BD5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7.7282099929184049</v>
      </c>
      <c r="BE5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13.326062978991265</v>
      </c>
      <c r="BF5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22.482065433944445</v>
      </c>
      <c r="BG5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31.955355102683132</v>
      </c>
      <c r="BH5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39.343614509402784</v>
      </c>
      <c r="BI5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40.794070343850812</v>
      </c>
      <c r="BJ5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41.451308143835078</v>
      </c>
      <c r="BK5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35.830791785348964</v>
      </c>
      <c r="BL5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25.156343378708002</v>
      </c>
      <c r="BM5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16.158984530647572</v>
      </c>
      <c r="BN5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7.4789128963726501</v>
      </c>
      <c r="BO5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6.3230809032968764</v>
      </c>
      <c r="BP596">
        <f>SUM(Таб[[#This Row],[1]:[12]])</f>
        <v>288.02879999999999</v>
      </c>
    </row>
    <row r="597" spans="2:68" ht="63.75">
      <c r="B597" t="s">
        <v>384</v>
      </c>
      <c r="C597" t="str">
        <f>IFERROR(VLOOKUP(Таб[[#This Row],[Зелений Тариф ЕЦ]],Sheet6!$H$9:$I$29,2,FALSE),"")</f>
        <v>Дах</v>
      </c>
      <c r="G597" s="1" t="s">
        <v>760</v>
      </c>
      <c r="H597" t="s">
        <v>198</v>
      </c>
      <c r="I597" t="s">
        <v>208</v>
      </c>
      <c r="J597" s="7">
        <v>0.23</v>
      </c>
      <c r="K597" s="8"/>
      <c r="L597" s="8">
        <v>42404</v>
      </c>
      <c r="M597">
        <v>2</v>
      </c>
      <c r="N597" s="49" t="s">
        <v>67</v>
      </c>
      <c r="O597">
        <v>2016</v>
      </c>
      <c r="P597">
        <v>0.1804</v>
      </c>
      <c r="Q597" s="10"/>
      <c r="R597" s="11">
        <f>ROUND(Таб[[#This Row],[Зелений Тариф ЕЦ]]+Таб[[#This Row],[Зелений Тариф ЕЦ]]*Таб[[#This Row],[% надбавки]],4)</f>
        <v>0.1804</v>
      </c>
      <c r="S597" s="12"/>
      <c r="T597">
        <v>2E-3</v>
      </c>
      <c r="U597">
        <v>6.9999999999999993E-3</v>
      </c>
      <c r="V597">
        <v>2.0999999999999998E-2</v>
      </c>
      <c r="W597">
        <v>3.3000000000000002E-2</v>
      </c>
      <c r="X597">
        <v>3.9999999999999994E-2</v>
      </c>
      <c r="Y597">
        <v>4.3999999999999997E-2</v>
      </c>
      <c r="Z597">
        <v>4.1000000000000009E-2</v>
      </c>
      <c r="AA597">
        <v>4.1000000000000009E-2</v>
      </c>
      <c r="AB597">
        <v>2.4999999999999994E-2</v>
      </c>
      <c r="AC597">
        <v>1.2000000000000011E-2</v>
      </c>
      <c r="AD597">
        <v>6.0000000000000053E-3</v>
      </c>
      <c r="AE597">
        <v>3.0000000000000027E-3</v>
      </c>
      <c r="AF597">
        <v>4.0000000000000001E-3</v>
      </c>
      <c r="AG597">
        <v>6.0000000000000001E-3</v>
      </c>
      <c r="AH597">
        <v>1.4E-2</v>
      </c>
      <c r="AI597">
        <v>3.5000000000000003E-2</v>
      </c>
      <c r="AJ597">
        <v>4.2000000000000003E-2</v>
      </c>
      <c r="AK597">
        <v>0.04</v>
      </c>
      <c r="AL597">
        <v>3.7999999999999999E-2</v>
      </c>
      <c r="AM597">
        <v>4.2000000000000003E-2</v>
      </c>
      <c r="AN597">
        <v>2.5999999999999999E-2</v>
      </c>
      <c r="AO597">
        <v>0.02</v>
      </c>
      <c r="AP597">
        <v>6.0000000000000001E-3</v>
      </c>
      <c r="AQ597">
        <v>1E-3</v>
      </c>
      <c r="AR597">
        <v>1E-3</v>
      </c>
      <c r="AS597">
        <v>0.01</v>
      </c>
      <c r="AT597">
        <v>1.7999999999999999E-2</v>
      </c>
      <c r="AU597">
        <v>2.8000000000000001E-2</v>
      </c>
      <c r="AV597">
        <v>0.03</v>
      </c>
      <c r="AW597">
        <v>3.7999999999999999E-2</v>
      </c>
      <c r="AX597">
        <v>3.4000000000000002E-2</v>
      </c>
      <c r="AY597">
        <v>3.1E-2</v>
      </c>
      <c r="BD5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7.4062012432134718</v>
      </c>
      <c r="BE5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12.770810354866631</v>
      </c>
      <c r="BF5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21.545312707530098</v>
      </c>
      <c r="BG5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30.623881973404671</v>
      </c>
      <c r="BH5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37.704297238177674</v>
      </c>
      <c r="BI5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39.094317412857038</v>
      </c>
      <c r="BJ5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39.724170304508618</v>
      </c>
      <c r="BK5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34.337842127626097</v>
      </c>
      <c r="BL5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24.10816240459517</v>
      </c>
      <c r="BM5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15.485693508537256</v>
      </c>
      <c r="BN5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7.167291525690457</v>
      </c>
      <c r="BO5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6.0596191989928396</v>
      </c>
      <c r="BP597">
        <f>SUM(Таб[[#This Row],[1]:[12]])</f>
        <v>276.02760000000001</v>
      </c>
    </row>
    <row r="598" spans="2:68" ht="63.75">
      <c r="B598" t="s">
        <v>384</v>
      </c>
      <c r="C598" t="str">
        <f>IFERROR(VLOOKUP(Таб[[#This Row],[Зелений Тариф ЕЦ]],Sheet6!$H$9:$I$29,2,FALSE),"")</f>
        <v>Дах</v>
      </c>
      <c r="G598" s="1" t="s">
        <v>760</v>
      </c>
      <c r="H598" t="s">
        <v>198</v>
      </c>
      <c r="I598" t="s">
        <v>208</v>
      </c>
      <c r="J598" s="7">
        <v>0.2</v>
      </c>
      <c r="K598" s="8"/>
      <c r="L598" s="8">
        <v>42439</v>
      </c>
      <c r="M598">
        <v>3</v>
      </c>
      <c r="N598" s="49" t="s">
        <v>67</v>
      </c>
      <c r="O598">
        <v>2016</v>
      </c>
      <c r="P598">
        <v>0.1804</v>
      </c>
      <c r="Q598" s="10"/>
      <c r="R598" s="11">
        <f>ROUND(Таб[[#This Row],[Зелений Тариф ЕЦ]]+Таб[[#This Row],[Зелений Тариф ЕЦ]]*Таб[[#This Row],[% надбавки]],4)</f>
        <v>0.1804</v>
      </c>
      <c r="S598" s="12"/>
      <c r="T598">
        <v>8.9999999999999993E-3</v>
      </c>
      <c r="U598">
        <v>1.2999999999999999E-2</v>
      </c>
      <c r="V598">
        <v>2.3E-2</v>
      </c>
      <c r="W598">
        <v>3.8000000000000006E-2</v>
      </c>
      <c r="X598">
        <v>4.4999999999999998E-2</v>
      </c>
      <c r="Y598">
        <v>4.6999999999999986E-2</v>
      </c>
      <c r="Z598">
        <v>4.4000000000000011E-2</v>
      </c>
      <c r="AA598">
        <v>4.300000000000001E-2</v>
      </c>
      <c r="AB598">
        <v>2.899999999999997E-2</v>
      </c>
      <c r="AC598">
        <v>1.7000000000000015E-2</v>
      </c>
      <c r="AD598">
        <v>1.0000000000000009E-2</v>
      </c>
      <c r="AE598">
        <v>5.0000000000000044E-3</v>
      </c>
      <c r="AF598">
        <v>7.0000000000000001E-3</v>
      </c>
      <c r="AG598">
        <v>0.01</v>
      </c>
      <c r="AH598">
        <v>1.6E-2</v>
      </c>
      <c r="AI598">
        <v>3.9E-2</v>
      </c>
      <c r="AJ598">
        <v>4.2999999999999997E-2</v>
      </c>
      <c r="AK598">
        <v>3.9E-2</v>
      </c>
      <c r="AL598">
        <v>3.6999999999999998E-2</v>
      </c>
      <c r="AM598">
        <v>0.04</v>
      </c>
      <c r="AN598">
        <v>2.4E-2</v>
      </c>
      <c r="AO598">
        <v>0.02</v>
      </c>
      <c r="AP598">
        <v>5.0000000000000001E-3</v>
      </c>
      <c r="AQ598">
        <v>1E-3</v>
      </c>
      <c r="AR598">
        <v>2E-3</v>
      </c>
      <c r="AS598">
        <v>8.0000000000000002E-3</v>
      </c>
      <c r="AT598">
        <v>1.7999999999999999E-2</v>
      </c>
      <c r="AU598">
        <v>2.5999999999999999E-2</v>
      </c>
      <c r="AV598">
        <v>2.8000000000000001E-2</v>
      </c>
      <c r="AW598">
        <v>3.3000000000000002E-2</v>
      </c>
      <c r="AX598">
        <v>2.8000000000000001E-2</v>
      </c>
      <c r="AY598">
        <v>0.03</v>
      </c>
      <c r="BD5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6.4401749940986726</v>
      </c>
      <c r="BE5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11.105052482492724</v>
      </c>
      <c r="BF5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18.735054528287041</v>
      </c>
      <c r="BG5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26.629462585569279</v>
      </c>
      <c r="BH5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32.786345424502322</v>
      </c>
      <c r="BI5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33.995058619875678</v>
      </c>
      <c r="BJ5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34.542756786529232</v>
      </c>
      <c r="BK5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29.858993154457472</v>
      </c>
      <c r="BL5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20.963619482256675</v>
      </c>
      <c r="BM5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13.465820442206311</v>
      </c>
      <c r="BN5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6.232427413643876</v>
      </c>
      <c r="BO5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5.269234086080731</v>
      </c>
      <c r="BP598">
        <f>SUM(Таб[[#This Row],[1]:[12]])</f>
        <v>240.02399999999997</v>
      </c>
    </row>
    <row r="599" spans="2:68" ht="38.25">
      <c r="B599" t="s">
        <v>384</v>
      </c>
      <c r="C599" t="str">
        <f>IFERROR(VLOOKUP(Таб[[#This Row],[Зелений Тариф ЕЦ]],Sheet6!$H$9:$I$29,2,FALSE),"")</f>
        <v>Дах</v>
      </c>
      <c r="G599" s="1" t="s">
        <v>1525</v>
      </c>
      <c r="H599" t="s">
        <v>82</v>
      </c>
      <c r="J599" s="7">
        <v>0.2</v>
      </c>
      <c r="K599" s="8"/>
      <c r="L599" s="8">
        <v>43641</v>
      </c>
      <c r="M599">
        <v>6</v>
      </c>
      <c r="N599" s="49" t="s">
        <v>57</v>
      </c>
      <c r="O599">
        <v>2019</v>
      </c>
      <c r="P599">
        <v>0.16370000000000001</v>
      </c>
      <c r="Q599" s="10"/>
      <c r="R599" s="11">
        <f>ROUND(Таб[[#This Row],[Зелений Тариф ЕЦ]]+Таб[[#This Row],[Зелений Тариф ЕЦ]]*Таб[[#This Row],[% надбавки]],4)</f>
        <v>0.16370000000000001</v>
      </c>
      <c r="S599" s="12"/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BD5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6.4401749940986726</v>
      </c>
      <c r="BE5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11.105052482492724</v>
      </c>
      <c r="BF5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18.735054528287041</v>
      </c>
      <c r="BG5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26.629462585569279</v>
      </c>
      <c r="BH5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32.786345424502322</v>
      </c>
      <c r="BI5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33.995058619875678</v>
      </c>
      <c r="BJ5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34.542756786529232</v>
      </c>
      <c r="BK5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29.858993154457472</v>
      </c>
      <c r="BL5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20.963619482256675</v>
      </c>
      <c r="BM5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13.465820442206311</v>
      </c>
      <c r="BN5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6.232427413643876</v>
      </c>
      <c r="BO5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5.269234086080731</v>
      </c>
      <c r="BP599">
        <f>SUM(Таб[[#This Row],[1]:[12]])</f>
        <v>240.02399999999997</v>
      </c>
    </row>
    <row r="600" spans="2:68" ht="38.25">
      <c r="B600" t="s">
        <v>384</v>
      </c>
      <c r="C600" t="str">
        <f>IFERROR(VLOOKUP(Таб[[#This Row],[Зелений Тариф ЕЦ]],Sheet6!$H$9:$I$29,2,FALSE),"")</f>
        <v>Дах</v>
      </c>
      <c r="G600" s="1" t="s">
        <v>1527</v>
      </c>
      <c r="H600" t="s">
        <v>65</v>
      </c>
      <c r="J600" s="7">
        <v>0.65100000000000002</v>
      </c>
      <c r="K600" s="8"/>
      <c r="L600" s="8">
        <v>43613</v>
      </c>
      <c r="M600">
        <v>5</v>
      </c>
      <c r="N600" s="49" t="s">
        <v>57</v>
      </c>
      <c r="O600">
        <v>2019</v>
      </c>
      <c r="P600">
        <v>0.16370000000000001</v>
      </c>
      <c r="Q600" s="10"/>
      <c r="R600" s="11">
        <f>ROUND(Таб[[#This Row],[Зелений Тариф ЕЦ]]+Таб[[#This Row],[Зелений Тариф ЕЦ]]*Таб[[#This Row],[% надбавки]],4)</f>
        <v>0.16370000000000001</v>
      </c>
      <c r="S600" s="12"/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9.2999999999999999E-2</v>
      </c>
      <c r="AX600">
        <v>9.7000000000000003E-2</v>
      </c>
      <c r="AY600">
        <v>8.6999999999999994E-2</v>
      </c>
      <c r="BD6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20.962769605791177</v>
      </c>
      <c r="BE6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36.146945830513815</v>
      </c>
      <c r="BF6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60.982602489574319</v>
      </c>
      <c r="BG6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86.678900716028011</v>
      </c>
      <c r="BH6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106.71955435675505</v>
      </c>
      <c r="BI6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110.65391580769536</v>
      </c>
      <c r="BJ6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112.43667334015265</v>
      </c>
      <c r="BK6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97.191022717759068</v>
      </c>
      <c r="BL6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68.236581414745459</v>
      </c>
      <c r="BM6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43.831245539381534</v>
      </c>
      <c r="BN6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20.286551231410819</v>
      </c>
      <c r="BO6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17.151356950192778</v>
      </c>
      <c r="BP600">
        <f>SUM(Таб[[#This Row],[1]:[12]])</f>
        <v>781.27812000000006</v>
      </c>
    </row>
    <row r="601" spans="2:68" ht="38.25">
      <c r="B601" t="s">
        <v>384</v>
      </c>
      <c r="C601" t="str">
        <f>IFERROR(VLOOKUP(Таб[[#This Row],[Зелений Тариф ЕЦ]],Sheet6!$H$9:$I$29,2,FALSE),"")</f>
        <v>Дах</v>
      </c>
      <c r="G601" s="1" t="s">
        <v>804</v>
      </c>
      <c r="H601" t="s">
        <v>122</v>
      </c>
      <c r="J601" s="7">
        <v>0.77200000000000002</v>
      </c>
      <c r="K601" s="8"/>
      <c r="L601" s="8">
        <v>43382</v>
      </c>
      <c r="M601">
        <v>10</v>
      </c>
      <c r="N601" s="49" t="s">
        <v>71</v>
      </c>
      <c r="O601">
        <v>2018</v>
      </c>
      <c r="P601">
        <v>0.16370000000000001</v>
      </c>
      <c r="Q601" s="10"/>
      <c r="R601" s="11">
        <f>ROUND(Таб[[#This Row],[Зелений Тариф ЕЦ]]+Таб[[#This Row],[Зелений Тариф ЕЦ]]*Таб[[#This Row],[% надбавки]],4)</f>
        <v>0.16370000000000001</v>
      </c>
      <c r="S601" s="12"/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1.7999999999999999E-2</v>
      </c>
      <c r="AT601">
        <v>6.4000000000000001E-2</v>
      </c>
      <c r="AU601">
        <v>9.8000000000000004E-2</v>
      </c>
      <c r="AV601">
        <v>0.113</v>
      </c>
      <c r="AW601">
        <v>0.129</v>
      </c>
      <c r="AX601">
        <v>0.13100000000000001</v>
      </c>
      <c r="AY601">
        <v>0.108</v>
      </c>
      <c r="BD6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24.85907547722087</v>
      </c>
      <c r="BE6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42.865502582421904</v>
      </c>
      <c r="BF6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72.317310479187981</v>
      </c>
      <c r="BG6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102.78972558029743</v>
      </c>
      <c r="BH6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126.55529333857895</v>
      </c>
      <c r="BI6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131.22092627272013</v>
      </c>
      <c r="BJ6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133.33504119600283</v>
      </c>
      <c r="BK6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115.25571357620586</v>
      </c>
      <c r="BL6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80.919571201510749</v>
      </c>
      <c r="BM6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51.978066906916361</v>
      </c>
      <c r="BN6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24.057169816665358</v>
      </c>
      <c r="BO6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20.33924357227162</v>
      </c>
      <c r="BP601">
        <f>SUM(Таб[[#This Row],[1]:[12]])</f>
        <v>926.49264000000005</v>
      </c>
    </row>
    <row r="602" spans="2:68" ht="51">
      <c r="B602" t="s">
        <v>384</v>
      </c>
      <c r="C602" t="str">
        <f>IFERROR(VLOOKUP(Таб[[#This Row],[Зелений Тариф ЕЦ]],Sheet6!$H$9:$I$29,2,FALSE),"")</f>
        <v>Дах</v>
      </c>
      <c r="G602" s="1" t="s">
        <v>1530</v>
      </c>
      <c r="H602" t="s">
        <v>233</v>
      </c>
      <c r="J602" s="7">
        <v>0.74099999999999999</v>
      </c>
      <c r="K602" s="8"/>
      <c r="L602" s="8">
        <v>43403</v>
      </c>
      <c r="M602">
        <v>10</v>
      </c>
      <c r="N602" s="49" t="s">
        <v>71</v>
      </c>
      <c r="O602">
        <v>2018</v>
      </c>
      <c r="P602">
        <v>0.16370000000000001</v>
      </c>
      <c r="Q602" s="10"/>
      <c r="R602" s="11">
        <f>ROUND(Таб[[#This Row],[Зелений Тариф ЕЦ]]+Таб[[#This Row],[Зелений Тариф ЕЦ]]*Таб[[#This Row],[% надбавки]],4)</f>
        <v>0.16370000000000001</v>
      </c>
      <c r="S602" s="12"/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1E-3</v>
      </c>
      <c r="AS602">
        <v>2.1000000000000001E-2</v>
      </c>
      <c r="AT602">
        <v>3.5000000000000003E-2</v>
      </c>
      <c r="AU602">
        <v>4.4999999999999998E-2</v>
      </c>
      <c r="AV602">
        <v>3.9E-2</v>
      </c>
      <c r="AW602">
        <v>6.2E-2</v>
      </c>
      <c r="AX602">
        <v>0.05</v>
      </c>
      <c r="AY602">
        <v>5.2999999999999999E-2</v>
      </c>
      <c r="BD6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23.860848353135577</v>
      </c>
      <c r="BE6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41.144219447635535</v>
      </c>
      <c r="BF6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69.413377027303483</v>
      </c>
      <c r="BG6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98.662158879534189</v>
      </c>
      <c r="BH6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121.4734097977811</v>
      </c>
      <c r="BI6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125.95169218663939</v>
      </c>
      <c r="BJ6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127.9809138940908</v>
      </c>
      <c r="BK6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110.62756963726494</v>
      </c>
      <c r="BL6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77.670210181760964</v>
      </c>
      <c r="BM6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49.890864738374376</v>
      </c>
      <c r="BN6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23.091143567550557</v>
      </c>
      <c r="BO6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19.522512288929107</v>
      </c>
      <c r="BP602">
        <f>SUM(Таб[[#This Row],[1]:[12]])</f>
        <v>889.28891999999996</v>
      </c>
    </row>
    <row r="603" spans="2:68" ht="38.25">
      <c r="B603" t="s">
        <v>384</v>
      </c>
      <c r="C603" t="str">
        <f>IFERROR(VLOOKUP(Таб[[#This Row],[Зелений Тариф ЕЦ]],Sheet6!$H$9:$I$29,2,FALSE),"")</f>
        <v>Дах</v>
      </c>
      <c r="G603" s="1" t="s">
        <v>1532</v>
      </c>
      <c r="H603" t="s">
        <v>172</v>
      </c>
      <c r="J603" s="7">
        <v>9.9000000000000005E-2</v>
      </c>
      <c r="K603" s="8"/>
      <c r="L603" s="8">
        <v>43182</v>
      </c>
      <c r="M603">
        <v>3</v>
      </c>
      <c r="N603" s="49" t="s">
        <v>67</v>
      </c>
      <c r="O603">
        <v>2018</v>
      </c>
      <c r="P603">
        <v>0.16370000000000001</v>
      </c>
      <c r="Q603" s="10"/>
      <c r="R603" s="11">
        <f>ROUND(Таб[[#This Row],[Зелений Тариф ЕЦ]]+Таб[[#This Row],[Зелений Тариф ЕЦ]]*Таб[[#This Row],[% надбавки]],4)</f>
        <v>0.16370000000000001</v>
      </c>
      <c r="S603" s="12"/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8.9999999999999993E-3</v>
      </c>
      <c r="AO603">
        <v>7.0000000000000001E-3</v>
      </c>
      <c r="AP603">
        <v>1E-3</v>
      </c>
      <c r="AQ603">
        <v>0</v>
      </c>
      <c r="AR603">
        <v>0</v>
      </c>
      <c r="AS603">
        <v>3.0000000000000001E-3</v>
      </c>
      <c r="AT603">
        <v>7.0000000000000001E-3</v>
      </c>
      <c r="AU603">
        <v>7.0000000000000001E-3</v>
      </c>
      <c r="AV603">
        <v>7.0000000000000001E-3</v>
      </c>
      <c r="AW603">
        <v>0.01</v>
      </c>
      <c r="AX603">
        <v>8.0000000000000002E-3</v>
      </c>
      <c r="AY603">
        <v>0.01</v>
      </c>
      <c r="BD6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3.1878866220788424</v>
      </c>
      <c r="BE6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5.4970009788338983</v>
      </c>
      <c r="BF6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9.2738519915020845</v>
      </c>
      <c r="BG6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13.181583979856793</v>
      </c>
      <c r="BH6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16.229240985128648</v>
      </c>
      <c r="BI6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16.827554016838462</v>
      </c>
      <c r="BJ6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17.098664609331969</v>
      </c>
      <c r="BK6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14.78020161145645</v>
      </c>
      <c r="BL6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10.376991643717052</v>
      </c>
      <c r="BM6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6.6655811188921241</v>
      </c>
      <c r="BN6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3.0850515697537189</v>
      </c>
      <c r="BO6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2.6082708726099617</v>
      </c>
      <c r="BP603">
        <f>SUM(Таб[[#This Row],[1]:[12]])</f>
        <v>118.81188</v>
      </c>
    </row>
    <row r="604" spans="2:68" ht="25.5">
      <c r="B604" t="s">
        <v>384</v>
      </c>
      <c r="C604" t="str">
        <f>IFERROR(VLOOKUP(Таб[[#This Row],[Зелений Тариф ЕЦ]],Sheet6!$H$9:$I$29,2,FALSE),"")</f>
        <v>Дах</v>
      </c>
      <c r="G604" s="1" t="s">
        <v>1534</v>
      </c>
      <c r="H604" t="s">
        <v>65</v>
      </c>
      <c r="J604" s="7">
        <v>0.19900000000000001</v>
      </c>
      <c r="K604" s="8"/>
      <c r="L604" s="8">
        <v>42822</v>
      </c>
      <c r="M604">
        <v>3</v>
      </c>
      <c r="N604" s="49" t="s">
        <v>67</v>
      </c>
      <c r="O604">
        <v>2017</v>
      </c>
      <c r="P604">
        <v>0.17230000000000001</v>
      </c>
      <c r="Q604" s="10"/>
      <c r="R604" s="11">
        <f>ROUND(Таб[[#This Row],[Зелений Тариф ЕЦ]]+Таб[[#This Row],[Зелений Тариф ЕЦ]]*Таб[[#This Row],[% надбавки]],4)</f>
        <v>0.17230000000000001</v>
      </c>
      <c r="S604" s="12"/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4.0000000000000001E-3</v>
      </c>
      <c r="AG604">
        <v>2E-3</v>
      </c>
      <c r="AH604">
        <v>7.0000000000000001E-3</v>
      </c>
      <c r="AI604">
        <v>2.5000000000000001E-2</v>
      </c>
      <c r="AJ604">
        <v>2.8000000000000001E-2</v>
      </c>
      <c r="AK604">
        <v>2.1999999999999999E-2</v>
      </c>
      <c r="AL604">
        <v>2.4E-2</v>
      </c>
      <c r="AM604">
        <v>2.4E-2</v>
      </c>
      <c r="AN604">
        <v>1.7999999999999999E-2</v>
      </c>
      <c r="AO604">
        <v>1.2E-2</v>
      </c>
      <c r="AP604">
        <v>3.0000000000000001E-3</v>
      </c>
      <c r="AQ604">
        <v>0</v>
      </c>
      <c r="AR604">
        <v>0</v>
      </c>
      <c r="AS604">
        <v>1.4E-2</v>
      </c>
      <c r="AT604">
        <v>4.2000000000000003E-2</v>
      </c>
      <c r="AU604">
        <v>5.1999999999999998E-2</v>
      </c>
      <c r="AV604">
        <v>5.2999999999999999E-2</v>
      </c>
      <c r="AW604">
        <v>7.5999999999999998E-2</v>
      </c>
      <c r="AX604">
        <v>7.9000000000000001E-2</v>
      </c>
      <c r="AY604">
        <v>6.8000000000000005E-2</v>
      </c>
      <c r="BD6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6.4079741191281787</v>
      </c>
      <c r="BE6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11.049527220080257</v>
      </c>
      <c r="BF6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18.641379255645607</v>
      </c>
      <c r="BG6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26.496315272641436</v>
      </c>
      <c r="BH6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32.622413697379812</v>
      </c>
      <c r="BI6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33.825083326776308</v>
      </c>
      <c r="BJ6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34.370043002596589</v>
      </c>
      <c r="BK6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29.709698188685188</v>
      </c>
      <c r="BL6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20.858801384845385</v>
      </c>
      <c r="BM6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13.39849133999528</v>
      </c>
      <c r="BN6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6.201265276575656</v>
      </c>
      <c r="BO6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5.2428879156503267</v>
      </c>
      <c r="BP604">
        <f>SUM(Таб[[#This Row],[1]:[12]])</f>
        <v>238.82388000000003</v>
      </c>
    </row>
    <row r="605" spans="2:68" ht="25.5">
      <c r="B605" t="s">
        <v>384</v>
      </c>
      <c r="C605" t="str">
        <f>IFERROR(VLOOKUP(Таб[[#This Row],[Зелений Тариф ЕЦ]],Sheet6!$H$9:$I$29,2,FALSE),"")</f>
        <v>Дах</v>
      </c>
      <c r="G605" s="1" t="s">
        <v>1534</v>
      </c>
      <c r="H605" t="s">
        <v>65</v>
      </c>
      <c r="J605" s="7">
        <v>0.35199999999999998</v>
      </c>
      <c r="K605" s="8"/>
      <c r="L605" s="8">
        <v>43490</v>
      </c>
      <c r="M605">
        <v>1</v>
      </c>
      <c r="N605" s="49" t="s">
        <v>67</v>
      </c>
      <c r="O605">
        <v>2019</v>
      </c>
      <c r="P605">
        <v>0.16370000000000001</v>
      </c>
      <c r="Q605" s="10"/>
      <c r="R605" s="11">
        <f>ROUND(Таб[[#This Row],[Зелений Тариф ЕЦ]]+Таб[[#This Row],[Зелений Тариф ЕЦ]]*Таб[[#This Row],[% надбавки]],4)</f>
        <v>0.16370000000000001</v>
      </c>
      <c r="S605" s="12"/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BD6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11.33470798961366</v>
      </c>
      <c r="BE6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19.544892369187188</v>
      </c>
      <c r="BF6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32.97369596978519</v>
      </c>
      <c r="BG6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46.867854150601929</v>
      </c>
      <c r="BH6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57.703967947124085</v>
      </c>
      <c r="BI6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59.831303170981187</v>
      </c>
      <c r="BJ6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60.795251944291437</v>
      </c>
      <c r="BK6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52.551827951845155</v>
      </c>
      <c r="BL6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36.895970288771743</v>
      </c>
      <c r="BM6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23.699843978283102</v>
      </c>
      <c r="BN6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10.969072248013219</v>
      </c>
      <c r="BO6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9.2738519915020845</v>
      </c>
      <c r="BP605">
        <f>SUM(Таб[[#This Row],[1]:[12]])</f>
        <v>422.44224000000008</v>
      </c>
    </row>
    <row r="606" spans="2:68" ht="38.25">
      <c r="B606" t="s">
        <v>384</v>
      </c>
      <c r="C606" t="str">
        <f>IFERROR(VLOOKUP(Таб[[#This Row],[Зелений Тариф ЕЦ]],Sheet6!$H$9:$I$29,2,FALSE),"")</f>
        <v>Дах</v>
      </c>
      <c r="G606" s="1" t="s">
        <v>1537</v>
      </c>
      <c r="H606" t="s">
        <v>65</v>
      </c>
      <c r="J606" s="7">
        <v>0.33</v>
      </c>
      <c r="K606" s="8"/>
      <c r="L606" s="8">
        <v>43368</v>
      </c>
      <c r="M606">
        <v>9</v>
      </c>
      <c r="N606" s="49" t="s">
        <v>60</v>
      </c>
      <c r="O606">
        <v>2018</v>
      </c>
      <c r="P606">
        <v>0.16370000000000001</v>
      </c>
      <c r="Q606" s="10"/>
      <c r="R606" s="11">
        <f>ROUND(Таб[[#This Row],[Зелений Тариф ЕЦ]]+Таб[[#This Row],[Зелений Тариф ЕЦ]]*Таб[[#This Row],[% надбавки]],4)</f>
        <v>0.16370000000000001</v>
      </c>
      <c r="S606" s="12"/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3.2000000000000001E-2</v>
      </c>
      <c r="AO606">
        <v>2.7E-2</v>
      </c>
      <c r="AP606">
        <v>6.0000000000000001E-3</v>
      </c>
      <c r="AQ606">
        <v>2E-3</v>
      </c>
      <c r="AR606">
        <v>1E-3</v>
      </c>
      <c r="AS606">
        <v>1.0999999999999999E-2</v>
      </c>
      <c r="AT606">
        <v>0.03</v>
      </c>
      <c r="AU606">
        <v>3.5000000000000003E-2</v>
      </c>
      <c r="AV606">
        <v>3.5000000000000003E-2</v>
      </c>
      <c r="AW606">
        <v>5.0999999999999997E-2</v>
      </c>
      <c r="AX606">
        <v>4.9000000000000002E-2</v>
      </c>
      <c r="AY606">
        <v>4.4999999999999998E-2</v>
      </c>
      <c r="BD6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10.626288740262808</v>
      </c>
      <c r="BE6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18.323336596112991</v>
      </c>
      <c r="BF6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30.91283997167362</v>
      </c>
      <c r="BG6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43.938613266189314</v>
      </c>
      <c r="BH6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54.097469950428824</v>
      </c>
      <c r="BI6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56.09184672279487</v>
      </c>
      <c r="BJ6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56.995548697773238</v>
      </c>
      <c r="BK6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49.267338704854836</v>
      </c>
      <c r="BL6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34.589972145723507</v>
      </c>
      <c r="BM6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22.218603729640414</v>
      </c>
      <c r="BN6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10.283505232512397</v>
      </c>
      <c r="BO6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8.694236242033206</v>
      </c>
      <c r="BP606">
        <f>SUM(Таб[[#This Row],[1]:[12]])</f>
        <v>396.03960000000006</v>
      </c>
    </row>
    <row r="607" spans="2:68" ht="25.5">
      <c r="B607" t="s">
        <v>384</v>
      </c>
      <c r="C607" t="str">
        <f>IFERROR(VLOOKUP(Таб[[#This Row],[Зелений Тариф ЕЦ]],Sheet6!$H$9:$I$29,2,FALSE),"")</f>
        <v>Дах</v>
      </c>
      <c r="G607" s="1" t="s">
        <v>1539</v>
      </c>
      <c r="H607" t="s">
        <v>176</v>
      </c>
      <c r="J607" s="7">
        <v>0.05</v>
      </c>
      <c r="K607" s="8"/>
      <c r="L607" s="8">
        <v>42432</v>
      </c>
      <c r="M607">
        <v>3</v>
      </c>
      <c r="N607" s="49" t="s">
        <v>67</v>
      </c>
      <c r="O607">
        <v>2016</v>
      </c>
      <c r="P607">
        <v>0.1804</v>
      </c>
      <c r="Q607" s="10"/>
      <c r="R607" s="11">
        <f>ROUND(Таб[[#This Row],[Зелений Тариф ЕЦ]]+Таб[[#This Row],[Зелений Тариф ЕЦ]]*Таб[[#This Row],[% надбавки]],4)</f>
        <v>0.1804</v>
      </c>
      <c r="S607" s="12"/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1E-3</v>
      </c>
      <c r="AI607">
        <v>6.0000000000000001E-3</v>
      </c>
      <c r="AJ607">
        <v>7.0000000000000001E-3</v>
      </c>
      <c r="AK607">
        <v>7.0000000000000001E-3</v>
      </c>
      <c r="AL607">
        <v>6.0000000000000001E-3</v>
      </c>
      <c r="AM607">
        <v>7.0000000000000001E-3</v>
      </c>
      <c r="AN607">
        <v>4.0000000000000001E-3</v>
      </c>
      <c r="AO607">
        <v>3.0000000000000001E-3</v>
      </c>
      <c r="AP607">
        <v>1E-3</v>
      </c>
      <c r="AQ607">
        <v>0</v>
      </c>
      <c r="AR607">
        <v>0</v>
      </c>
      <c r="AS607">
        <v>2E-3</v>
      </c>
      <c r="AT607">
        <v>3.0000000000000001E-3</v>
      </c>
      <c r="AU607">
        <v>5.0000000000000001E-3</v>
      </c>
      <c r="AV607">
        <v>6.0000000000000001E-3</v>
      </c>
      <c r="AW607">
        <v>7.0000000000000001E-3</v>
      </c>
      <c r="AX607">
        <v>7.0000000000000001E-3</v>
      </c>
      <c r="AY607">
        <v>6.0000000000000001E-3</v>
      </c>
      <c r="BD6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1.6100437485246681</v>
      </c>
      <c r="BE6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2.7762631206231809</v>
      </c>
      <c r="BF6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4.6837636320717602</v>
      </c>
      <c r="BG6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6.6573656463923196</v>
      </c>
      <c r="BH6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8.1965863561255805</v>
      </c>
      <c r="BI6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8.4987646549689195</v>
      </c>
      <c r="BJ6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8.6356891966323079</v>
      </c>
      <c r="BK6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7.4647482886143681</v>
      </c>
      <c r="BL6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5.2409048705641688</v>
      </c>
      <c r="BM6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3.3664551105515779</v>
      </c>
      <c r="BN6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1.558106853410969</v>
      </c>
      <c r="BO6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1.3173085215201827</v>
      </c>
      <c r="BP607">
        <f>SUM(Таб[[#This Row],[1]:[12]])</f>
        <v>60.005999999999993</v>
      </c>
    </row>
    <row r="608" spans="2:68" ht="25.5">
      <c r="B608" t="s">
        <v>384</v>
      </c>
      <c r="C608" t="str">
        <f>IFERROR(VLOOKUP(Таб[[#This Row],[Зелений Тариф ЕЦ]],Sheet6!$H$9:$I$29,2,FALSE),"")</f>
        <v>Дах</v>
      </c>
      <c r="G608" s="1" t="s">
        <v>1541</v>
      </c>
      <c r="H608" t="s">
        <v>65</v>
      </c>
      <c r="J608" s="7">
        <v>0.21</v>
      </c>
      <c r="K608" s="8"/>
      <c r="L608" s="8">
        <v>43613</v>
      </c>
      <c r="M608">
        <v>5</v>
      </c>
      <c r="N608" s="49" t="s">
        <v>57</v>
      </c>
      <c r="O608">
        <v>2019</v>
      </c>
      <c r="P608">
        <v>0.16370000000000001</v>
      </c>
      <c r="Q608" s="10"/>
      <c r="R608" s="11">
        <f>ROUND(Таб[[#This Row],[Зелений Тариф ЕЦ]]+Таб[[#This Row],[Зелений Тариф ЕЦ]]*Таб[[#This Row],[% надбавки]],4)</f>
        <v>0.16370000000000001</v>
      </c>
      <c r="S608" s="12"/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1.2999999999999999E-2</v>
      </c>
      <c r="AY608">
        <v>2.7E-2</v>
      </c>
      <c r="BD6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6.7621837438036039</v>
      </c>
      <c r="BE6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11.660305106617358</v>
      </c>
      <c r="BF6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19.671807254701392</v>
      </c>
      <c r="BG6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27.960935714847743</v>
      </c>
      <c r="BH6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34.425662695727432</v>
      </c>
      <c r="BI6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35.69481155086946</v>
      </c>
      <c r="BJ6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36.269894625855684</v>
      </c>
      <c r="BK6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31.35194281218034</v>
      </c>
      <c r="BL6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22.011800456369503</v>
      </c>
      <c r="BM6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14.139111464316622</v>
      </c>
      <c r="BN6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6.5440487843260691</v>
      </c>
      <c r="BO6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5.532695790384766</v>
      </c>
      <c r="BP608">
        <f>SUM(Таб[[#This Row],[1]:[12]])</f>
        <v>252.02519999999996</v>
      </c>
    </row>
    <row r="609" spans="2:68" ht="25.5">
      <c r="B609" t="s">
        <v>384</v>
      </c>
      <c r="C609" t="str">
        <f>IFERROR(VLOOKUP(Таб[[#This Row],[Зелений Тариф ЕЦ]],Sheet6!$H$9:$I$29,2,FALSE),"")</f>
        <v>Дах</v>
      </c>
      <c r="G609" s="1" t="s">
        <v>1543</v>
      </c>
      <c r="H609" t="s">
        <v>233</v>
      </c>
      <c r="J609" s="7">
        <v>0.1</v>
      </c>
      <c r="K609" s="8"/>
      <c r="L609" s="8">
        <v>43340</v>
      </c>
      <c r="M609">
        <v>8</v>
      </c>
      <c r="N609" s="49" t="s">
        <v>60</v>
      </c>
      <c r="O609">
        <v>2018</v>
      </c>
      <c r="P609">
        <v>0.16370000000000001</v>
      </c>
      <c r="Q609" s="10"/>
      <c r="R609" s="11">
        <f>ROUND(Таб[[#This Row],[Зелений Тариф ЕЦ]]+Таб[[#This Row],[Зелений Тариф ЕЦ]]*Таб[[#This Row],[% надбавки]],4)</f>
        <v>0.16370000000000001</v>
      </c>
      <c r="S609" s="12"/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6.0000000000000001E-3</v>
      </c>
      <c r="AT609">
        <v>1.0999999999999999E-2</v>
      </c>
      <c r="AU609">
        <v>1.2999999999999999E-2</v>
      </c>
      <c r="AV609">
        <v>1.2E-2</v>
      </c>
      <c r="AW609">
        <v>1.6E-2</v>
      </c>
      <c r="AX609">
        <v>0.01</v>
      </c>
      <c r="AY609">
        <v>1.6E-2</v>
      </c>
      <c r="BD6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3.2200874970493363</v>
      </c>
      <c r="BE6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5.5525262412463618</v>
      </c>
      <c r="BF6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9.3675272641435203</v>
      </c>
      <c r="BG6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13.314731292784639</v>
      </c>
      <c r="BH6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16.393172712251161</v>
      </c>
      <c r="BI6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16.997529309937839</v>
      </c>
      <c r="BJ6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17.271378393264616</v>
      </c>
      <c r="BK6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14.929496577228736</v>
      </c>
      <c r="BL6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10.481809741128338</v>
      </c>
      <c r="BM6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6.7329102211031557</v>
      </c>
      <c r="BN6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3.116213706821938</v>
      </c>
      <c r="BO6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2.6346170430403655</v>
      </c>
      <c r="BP609">
        <f>SUM(Таб[[#This Row],[1]:[12]])</f>
        <v>120.01199999999999</v>
      </c>
    </row>
    <row r="610" spans="2:68" ht="25.5">
      <c r="B610" t="s">
        <v>384</v>
      </c>
      <c r="C610" t="str">
        <f>IFERROR(VLOOKUP(Таб[[#This Row],[Зелений Тариф ЕЦ]],Sheet6!$H$9:$I$29,2,FALSE),"")</f>
        <v>Дах</v>
      </c>
      <c r="G610" s="1" t="s">
        <v>1543</v>
      </c>
      <c r="H610" t="s">
        <v>233</v>
      </c>
      <c r="J610" s="7">
        <v>5.0999999999999997E-2</v>
      </c>
      <c r="K610" s="8"/>
      <c r="L610" s="8">
        <v>43676</v>
      </c>
      <c r="M610">
        <v>7</v>
      </c>
      <c r="N610" s="49" t="s">
        <v>60</v>
      </c>
      <c r="O610">
        <v>2019</v>
      </c>
      <c r="P610">
        <v>0.16370000000000001</v>
      </c>
      <c r="Q610" s="10"/>
      <c r="R610" s="11">
        <f>ROUND(Таб[[#This Row],[Зелений Тариф ЕЦ]]+Таб[[#This Row],[Зелений Тариф ЕЦ]]*Таб[[#This Row],[% надбавки]],4)</f>
        <v>0.16370000000000001</v>
      </c>
      <c r="S610" s="12"/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BD6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1.6422446234951611</v>
      </c>
      <c r="BE6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2.8317883830356436</v>
      </c>
      <c r="BF6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4.7774389047131951</v>
      </c>
      <c r="BG6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6.7905129593201661</v>
      </c>
      <c r="BH6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8.3605180832480919</v>
      </c>
      <c r="BI6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8.6687399480682981</v>
      </c>
      <c r="BJ6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8.8084029805649529</v>
      </c>
      <c r="BK6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7.6140432543866545</v>
      </c>
      <c r="BL6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5.3457229679754512</v>
      </c>
      <c r="BM6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3.4337842127626086</v>
      </c>
      <c r="BN6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1.5892689904791881</v>
      </c>
      <c r="BO6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1.3436546919505863</v>
      </c>
      <c r="BP610">
        <f>SUM(Таб[[#This Row],[1]:[12]])</f>
        <v>61.206119999999991</v>
      </c>
    </row>
    <row r="611" spans="2:68" ht="38.25">
      <c r="B611" t="s">
        <v>384</v>
      </c>
      <c r="C611" t="str">
        <f>IFERROR(VLOOKUP(Таб[[#This Row],[Зелений Тариф ЕЦ]],Sheet6!$H$9:$I$29,2,FALSE),"")</f>
        <v>Дах</v>
      </c>
      <c r="G611" s="1" t="s">
        <v>1546</v>
      </c>
      <c r="H611" t="s">
        <v>122</v>
      </c>
      <c r="J611" s="7">
        <v>1.3049999999999999</v>
      </c>
      <c r="K611" s="8"/>
      <c r="L611" s="8">
        <v>43130</v>
      </c>
      <c r="M611">
        <v>1</v>
      </c>
      <c r="N611" s="49" t="s">
        <v>67</v>
      </c>
      <c r="O611">
        <v>2018</v>
      </c>
      <c r="P611">
        <v>0.16370000000000001</v>
      </c>
      <c r="Q611" s="10"/>
      <c r="R611" s="11">
        <f>ROUND(Таб[[#This Row],[Зелений Тариф ЕЦ]]+Таб[[#This Row],[Зелений Тариф ЕЦ]]*Таб[[#This Row],[% надбавки]],4)</f>
        <v>0.16370000000000001</v>
      </c>
      <c r="S611" s="12"/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0.121</v>
      </c>
      <c r="AO611">
        <v>0.10199999999999999</v>
      </c>
      <c r="AP611">
        <v>3.4000000000000002E-2</v>
      </c>
      <c r="AQ611">
        <v>5.0000000000000001E-3</v>
      </c>
      <c r="AR611">
        <v>0</v>
      </c>
      <c r="AS611">
        <v>4.7E-2</v>
      </c>
      <c r="AT611">
        <v>0.115</v>
      </c>
      <c r="AU611">
        <v>0.16600000000000001</v>
      </c>
      <c r="AV611">
        <v>0.182</v>
      </c>
      <c r="AW611">
        <v>0.21199999999999999</v>
      </c>
      <c r="AX611">
        <v>0.214</v>
      </c>
      <c r="AY611">
        <v>0.17599999999999999</v>
      </c>
      <c r="BD6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42.02214183649383</v>
      </c>
      <c r="BE6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72.460467448265007</v>
      </c>
      <c r="BF6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122.24623079707293</v>
      </c>
      <c r="BG6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173.75724337083955</v>
      </c>
      <c r="BH6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213.93090389487764</v>
      </c>
      <c r="BI6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221.81775749468878</v>
      </c>
      <c r="BJ6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225.39148803210324</v>
      </c>
      <c r="BK6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194.82993033283503</v>
      </c>
      <c r="BL6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136.78761712172476</v>
      </c>
      <c r="BM6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87.864478385396154</v>
      </c>
      <c r="BN6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40.666588874026289</v>
      </c>
      <c r="BO6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34.381752411676764</v>
      </c>
      <c r="BP611">
        <f>SUM(Таб[[#This Row],[1]:[12]])</f>
        <v>1566.1565999999998</v>
      </c>
    </row>
    <row r="612" spans="2:68" ht="38.25">
      <c r="B612" t="s">
        <v>384</v>
      </c>
      <c r="C612" t="str">
        <f>IFERROR(VLOOKUP(Таб[[#This Row],[Зелений Тариф ЕЦ]],Sheet6!$H$9:$I$29,2,FALSE),"")</f>
        <v>Дах</v>
      </c>
      <c r="G612" s="1" t="s">
        <v>1548</v>
      </c>
      <c r="H612" t="s">
        <v>163</v>
      </c>
      <c r="J612" s="7">
        <v>0.19400000000000001</v>
      </c>
      <c r="K612" s="8"/>
      <c r="L612" s="8">
        <v>43361</v>
      </c>
      <c r="M612">
        <v>9</v>
      </c>
      <c r="N612" s="49" t="s">
        <v>60</v>
      </c>
      <c r="O612">
        <v>2018</v>
      </c>
      <c r="P612">
        <v>0.16370000000000001</v>
      </c>
      <c r="Q612" s="10"/>
      <c r="R612" s="11">
        <f>ROUND(Таб[[#This Row],[Зелений Тариф ЕЦ]]+Таб[[#This Row],[Зелений Тариф ЕЦ]]*Таб[[#This Row],[% надбавки]],4)</f>
        <v>0.16370000000000001</v>
      </c>
      <c r="S612" s="12"/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2.9000000000000001E-2</v>
      </c>
      <c r="AX612">
        <v>0.03</v>
      </c>
      <c r="AY612">
        <v>2.8000000000000001E-2</v>
      </c>
      <c r="BD6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6.2469697442757113</v>
      </c>
      <c r="BE6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10.77190090801794</v>
      </c>
      <c r="BF6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18.173002892438429</v>
      </c>
      <c r="BG6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25.8305787080022</v>
      </c>
      <c r="BH6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31.80275506176725</v>
      </c>
      <c r="BI6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32.97520686127941</v>
      </c>
      <c r="BJ6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33.506474082933359</v>
      </c>
      <c r="BK6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28.963223359823747</v>
      </c>
      <c r="BL6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20.334710897788973</v>
      </c>
      <c r="BM6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13.061845828940122</v>
      </c>
      <c r="BN6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6.0454545912345585</v>
      </c>
      <c r="BO6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5.1111570634983083</v>
      </c>
      <c r="BP612">
        <f>SUM(Таб[[#This Row],[1]:[12]])</f>
        <v>232.82327999999995</v>
      </c>
    </row>
    <row r="613" spans="2:68" ht="63.75">
      <c r="B613" t="s">
        <v>384</v>
      </c>
      <c r="C613" t="str">
        <f>IFERROR(VLOOKUP(Таб[[#This Row],[Зелений Тариф ЕЦ]],Sheet6!$H$9:$I$29,2,FALSE),"")</f>
        <v>Дах</v>
      </c>
      <c r="G613" s="1" t="s">
        <v>1550</v>
      </c>
      <c r="H613" t="s">
        <v>73</v>
      </c>
      <c r="J613" s="7">
        <v>0.1</v>
      </c>
      <c r="K613" s="8"/>
      <c r="L613" s="8">
        <v>43434</v>
      </c>
      <c r="M613">
        <v>11</v>
      </c>
      <c r="N613" s="49" t="s">
        <v>71</v>
      </c>
      <c r="O613">
        <v>2018</v>
      </c>
      <c r="P613">
        <v>0.16370000000000001</v>
      </c>
      <c r="Q613" s="10"/>
      <c r="R613" s="11">
        <f>ROUND(Таб[[#This Row],[Зелений Тариф ЕЦ]]+Таб[[#This Row],[Зелений Тариф ЕЦ]]*Таб[[#This Row],[% надбавки]],4)</f>
        <v>0.16370000000000001</v>
      </c>
      <c r="S613" s="12"/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BD6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3.2200874970493363</v>
      </c>
      <c r="BE6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5.5525262412463618</v>
      </c>
      <c r="BF6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9.3675272641435203</v>
      </c>
      <c r="BG6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13.314731292784639</v>
      </c>
      <c r="BH6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16.393172712251161</v>
      </c>
      <c r="BI6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16.997529309937839</v>
      </c>
      <c r="BJ6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17.271378393264616</v>
      </c>
      <c r="BK6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14.929496577228736</v>
      </c>
      <c r="BL6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10.481809741128338</v>
      </c>
      <c r="BM6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6.7329102211031557</v>
      </c>
      <c r="BN6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3.116213706821938</v>
      </c>
      <c r="BO6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2.6346170430403655</v>
      </c>
      <c r="BP613">
        <f>SUM(Таб[[#This Row],[1]:[12]])</f>
        <v>120.01199999999999</v>
      </c>
    </row>
    <row r="614" spans="2:68" ht="38.25">
      <c r="B614" t="s">
        <v>384</v>
      </c>
      <c r="C614" t="str">
        <f>IFERROR(VLOOKUP(Таб[[#This Row],[Зелений Тариф ЕЦ]],Sheet6!$H$9:$I$29,2,FALSE),"")</f>
        <v>Дах</v>
      </c>
      <c r="G614" s="1" t="s">
        <v>1552</v>
      </c>
      <c r="H614" t="s">
        <v>172</v>
      </c>
      <c r="J614" s="7">
        <v>0.245</v>
      </c>
      <c r="K614" s="8"/>
      <c r="L614" s="8">
        <v>43371</v>
      </c>
      <c r="M614">
        <v>9</v>
      </c>
      <c r="N614" s="49" t="s">
        <v>60</v>
      </c>
      <c r="O614">
        <v>2018</v>
      </c>
      <c r="P614">
        <v>0.16370000000000001</v>
      </c>
      <c r="Q614" s="10"/>
      <c r="R614" s="11">
        <f>ROUND(Таб[[#This Row],[Зелений Тариф ЕЦ]]+Таб[[#This Row],[Зелений Тариф ЕЦ]]*Таб[[#This Row],[% надбавки]],4)</f>
        <v>0.16370000000000001</v>
      </c>
      <c r="S614" s="12"/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4.0000000000000001E-3</v>
      </c>
      <c r="AQ614">
        <v>2E-3</v>
      </c>
      <c r="AR614">
        <v>4.0000000000000001E-3</v>
      </c>
      <c r="AS614">
        <v>1.0999999999999999E-2</v>
      </c>
      <c r="AT614">
        <v>2.1999999999999999E-2</v>
      </c>
      <c r="AU614">
        <v>3.3000000000000002E-2</v>
      </c>
      <c r="AV614">
        <v>3.4000000000000002E-2</v>
      </c>
      <c r="AW614">
        <v>3.7999999999999999E-2</v>
      </c>
      <c r="AX614">
        <v>4.5999999999999999E-2</v>
      </c>
      <c r="AY614">
        <v>3.5999999999999997E-2</v>
      </c>
      <c r="BD6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7.8892143677708715</v>
      </c>
      <c r="BE6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13.603689291053582</v>
      </c>
      <c r="BF6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22.950441797151623</v>
      </c>
      <c r="BG6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32.621091667322368</v>
      </c>
      <c r="BH6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40.163273145015339</v>
      </c>
      <c r="BI6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41.64394680934771</v>
      </c>
      <c r="BJ6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42.314877063498308</v>
      </c>
      <c r="BK6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36.577266614210401</v>
      </c>
      <c r="BL6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25.680433865764421</v>
      </c>
      <c r="BM6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16.495630041702729</v>
      </c>
      <c r="BN6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7.6347235817137475</v>
      </c>
      <c r="BO6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6.454811755448894</v>
      </c>
      <c r="BP614">
        <f>SUM(Таб[[#This Row],[1]:[12]])</f>
        <v>294.02939999999995</v>
      </c>
    </row>
    <row r="615" spans="2:68" ht="38.25">
      <c r="B615" t="s">
        <v>384</v>
      </c>
      <c r="C615" t="str">
        <f>IFERROR(VLOOKUP(Таб[[#This Row],[Зелений Тариф ЕЦ]],Sheet6!$H$9:$I$29,2,FALSE),"")</f>
        <v>Дах</v>
      </c>
      <c r="G615" s="1" t="s">
        <v>1552</v>
      </c>
      <c r="H615" t="s">
        <v>172</v>
      </c>
      <c r="J615" s="7">
        <v>0.41499999999999998</v>
      </c>
      <c r="K615" s="8"/>
      <c r="L615" s="8">
        <v>43692</v>
      </c>
      <c r="M615">
        <v>8</v>
      </c>
      <c r="N615" s="49" t="s">
        <v>60</v>
      </c>
      <c r="O615">
        <v>2019</v>
      </c>
      <c r="P615">
        <v>0.16370000000000001</v>
      </c>
      <c r="Q615" s="10"/>
      <c r="R615" s="11">
        <f>ROUND(Таб[[#This Row],[Зелений Тариф ЕЦ]]+Таб[[#This Row],[Зелений Тариф ЕЦ]]*Таб[[#This Row],[% надбавки]],4)</f>
        <v>0.16370000000000001</v>
      </c>
      <c r="S615" s="12"/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BD6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13.363363112754742</v>
      </c>
      <c r="BE6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23.042983901172398</v>
      </c>
      <c r="BF6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38.875238146195599</v>
      </c>
      <c r="BG6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55.256134865056254</v>
      </c>
      <c r="BH6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68.031666755842309</v>
      </c>
      <c r="BI6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70.539746636242029</v>
      </c>
      <c r="BJ6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71.676220332048146</v>
      </c>
      <c r="BK6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61.957410795499257</v>
      </c>
      <c r="BL6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43.499510425682587</v>
      </c>
      <c r="BM6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27.941577417578092</v>
      </c>
      <c r="BN6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12.93228688331104</v>
      </c>
      <c r="BO6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10.933660728617514</v>
      </c>
      <c r="BP615">
        <f>SUM(Таб[[#This Row],[1]:[12]])</f>
        <v>498.0498</v>
      </c>
    </row>
    <row r="616" spans="2:68" ht="25.5">
      <c r="B616" t="s">
        <v>384</v>
      </c>
      <c r="C616" t="str">
        <f>IFERROR(VLOOKUP(Таб[[#This Row],[Зелений Тариф ЕЦ]],Sheet6!$H$9:$I$29,2,FALSE),"")</f>
        <v>Дах</v>
      </c>
      <c r="G616" s="1" t="s">
        <v>1555</v>
      </c>
      <c r="H616" t="s">
        <v>73</v>
      </c>
      <c r="J616" s="7">
        <v>2.2690000000000001</v>
      </c>
      <c r="K616" s="8"/>
      <c r="L616" s="8">
        <v>43263</v>
      </c>
      <c r="M616">
        <v>6</v>
      </c>
      <c r="N616" s="49" t="s">
        <v>57</v>
      </c>
      <c r="O616">
        <v>2018</v>
      </c>
      <c r="P616">
        <v>0.16370000000000001</v>
      </c>
      <c r="Q616" s="10"/>
      <c r="R616" s="11">
        <f>ROUND(Таб[[#This Row],[Зелений Тариф ЕЦ]]+Таб[[#This Row],[Зелений Тариф ЕЦ]]*Таб[[#This Row],[% надбавки]],4)</f>
        <v>0.16370000000000001</v>
      </c>
      <c r="S616" s="12"/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0.316</v>
      </c>
      <c r="AM616">
        <v>0.34399999999999997</v>
      </c>
      <c r="AN616">
        <v>0.23799999999999999</v>
      </c>
      <c r="AO616">
        <v>0.22</v>
      </c>
      <c r="AP616">
        <v>0.08</v>
      </c>
      <c r="AQ616">
        <v>4.3999999999999997E-2</v>
      </c>
      <c r="AR616">
        <v>5.1999999999999998E-2</v>
      </c>
      <c r="AS616">
        <v>0.10199999999999999</v>
      </c>
      <c r="AT616">
        <v>0.23799999999999999</v>
      </c>
      <c r="AU616">
        <v>0.29699999999999999</v>
      </c>
      <c r="AV616">
        <v>0.33900000000000002</v>
      </c>
      <c r="AW616">
        <v>0.35299999999999998</v>
      </c>
      <c r="AX616">
        <v>0.318</v>
      </c>
      <c r="AY616">
        <v>0.318</v>
      </c>
      <c r="BD6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73.063785308049432</v>
      </c>
      <c r="BE6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125.98682041387994</v>
      </c>
      <c r="BF6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212.54919362341647</v>
      </c>
      <c r="BG6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302.1112530332835</v>
      </c>
      <c r="BH6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371.96108884097885</v>
      </c>
      <c r="BI6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385.67394004248962</v>
      </c>
      <c r="BJ6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391.88757574317412</v>
      </c>
      <c r="BK6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338.75027733732003</v>
      </c>
      <c r="BL6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237.83226302620193</v>
      </c>
      <c r="BM6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152.76973291683061</v>
      </c>
      <c r="BN6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70.706889007789769</v>
      </c>
      <c r="BO6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59.779460706585894</v>
      </c>
      <c r="BP616">
        <f>SUM(Таб[[#This Row],[1]:[12]])</f>
        <v>2723.0722799999999</v>
      </c>
    </row>
    <row r="617" spans="2:68" ht="25.5">
      <c r="B617" t="s">
        <v>384</v>
      </c>
      <c r="C617" t="str">
        <f>IFERROR(VLOOKUP(Таб[[#This Row],[Зелений Тариф ЕЦ]],Sheet6!$H$9:$I$29,2,FALSE),"")</f>
        <v>Дах</v>
      </c>
      <c r="G617" s="1" t="s">
        <v>1557</v>
      </c>
      <c r="H617" t="s">
        <v>1465</v>
      </c>
      <c r="J617" s="7">
        <v>8.8999999999999996E-2</v>
      </c>
      <c r="K617" s="8"/>
      <c r="L617" s="8">
        <v>43158</v>
      </c>
      <c r="M617">
        <v>2</v>
      </c>
      <c r="N617" s="49" t="s">
        <v>67</v>
      </c>
      <c r="O617">
        <v>2018</v>
      </c>
      <c r="P617">
        <v>0.17230000000000001</v>
      </c>
      <c r="Q617" s="10"/>
      <c r="R617" s="11">
        <f>ROUND(Таб[[#This Row],[Зелений Тариф ЕЦ]]+Таб[[#This Row],[Зелений Тариф ЕЦ]]*Таб[[#This Row],[% надбавки]],4)</f>
        <v>0.17230000000000001</v>
      </c>
      <c r="S617" s="12"/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1.2E-2</v>
      </c>
      <c r="AN617">
        <v>8.0000000000000002E-3</v>
      </c>
      <c r="AO617">
        <v>6.0000000000000001E-3</v>
      </c>
      <c r="AP617">
        <v>2E-3</v>
      </c>
      <c r="AQ617">
        <v>0</v>
      </c>
      <c r="AR617">
        <v>0</v>
      </c>
      <c r="AS617">
        <v>3.0000000000000001E-3</v>
      </c>
      <c r="AT617">
        <v>7.0000000000000001E-3</v>
      </c>
      <c r="AU617">
        <v>0.01</v>
      </c>
      <c r="AV617">
        <v>1.0999999999999999E-2</v>
      </c>
      <c r="AW617">
        <v>1.2999999999999999E-2</v>
      </c>
      <c r="AX617">
        <v>0</v>
      </c>
      <c r="AY617">
        <v>0</v>
      </c>
      <c r="BD6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2.8658778723739085</v>
      </c>
      <c r="BE6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4.9417483547092607</v>
      </c>
      <c r="BF6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8.3370992650877334</v>
      </c>
      <c r="BG6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11.85011085057833</v>
      </c>
      <c r="BH6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14.589923713903534</v>
      </c>
      <c r="BI6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15.127801085844677</v>
      </c>
      <c r="BJ6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15.371526770005506</v>
      </c>
      <c r="BK6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13.287251953733573</v>
      </c>
      <c r="BL6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9.3288106696042163</v>
      </c>
      <c r="BM6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5.9922900967818071</v>
      </c>
      <c r="BN6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2.7734301990715244</v>
      </c>
      <c r="BO6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2.3448091683059245</v>
      </c>
      <c r="BP617">
        <f>SUM(Таб[[#This Row],[1]:[12]])</f>
        <v>106.81068</v>
      </c>
    </row>
    <row r="618" spans="2:68" ht="51">
      <c r="B618" t="s">
        <v>384</v>
      </c>
      <c r="C618" t="str">
        <f>IFERROR(VLOOKUP(Таб[[#This Row],[Зелений Тариф ЕЦ]],Sheet6!$H$9:$I$29,2,FALSE),"")</f>
        <v>Дах</v>
      </c>
      <c r="G618" s="1" t="s">
        <v>1559</v>
      </c>
      <c r="H618" t="s">
        <v>62</v>
      </c>
      <c r="J618" s="7">
        <v>0.36</v>
      </c>
      <c r="K618" s="8"/>
      <c r="L618" s="8">
        <v>43396</v>
      </c>
      <c r="M618">
        <v>10</v>
      </c>
      <c r="N618" s="49" t="s">
        <v>71</v>
      </c>
      <c r="O618">
        <v>2018</v>
      </c>
      <c r="P618">
        <v>0.16370000000000001</v>
      </c>
      <c r="Q618" s="10"/>
      <c r="R618" s="11">
        <f>ROUND(Таб[[#This Row],[Зелений Тариф ЕЦ]]+Таб[[#This Row],[Зелений Тариф ЕЦ]]*Таб[[#This Row],[% надбавки]],4)</f>
        <v>0.16370000000000001</v>
      </c>
      <c r="S618" s="12"/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2E-3</v>
      </c>
      <c r="AR618">
        <v>4.0000000000000001E-3</v>
      </c>
      <c r="AS618">
        <v>1.7000000000000001E-2</v>
      </c>
      <c r="AT618">
        <v>2.3E-2</v>
      </c>
      <c r="AU618">
        <v>3.6999999999999998E-2</v>
      </c>
      <c r="AV618">
        <v>3.5000000000000003E-2</v>
      </c>
      <c r="AW618">
        <v>4.1000000000000002E-2</v>
      </c>
      <c r="AX618">
        <v>4.2999999999999997E-2</v>
      </c>
      <c r="AY618">
        <v>3.7999999999999999E-2</v>
      </c>
      <c r="BD6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11.592314989377607</v>
      </c>
      <c r="BE6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19.989094468486897</v>
      </c>
      <c r="BF6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33.72309815091667</v>
      </c>
      <c r="BG6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47.9330326540247</v>
      </c>
      <c r="BH6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59.015421764104175</v>
      </c>
      <c r="BI6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61.191105515776215</v>
      </c>
      <c r="BJ6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62.17696221575261</v>
      </c>
      <c r="BK6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53.746187678023446</v>
      </c>
      <c r="BL6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37.734515068062009</v>
      </c>
      <c r="BM6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24.238476795971351</v>
      </c>
      <c r="BN6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11.218369344558976</v>
      </c>
      <c r="BO6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9.4846213549453147</v>
      </c>
      <c r="BP618">
        <f>SUM(Таб[[#This Row],[1]:[12]])</f>
        <v>432.04319999999996</v>
      </c>
    </row>
    <row r="619" spans="2:68" ht="51">
      <c r="B619" t="s">
        <v>384</v>
      </c>
      <c r="C619" t="str">
        <f>IFERROR(VLOOKUP(Таб[[#This Row],[Зелений Тариф ЕЦ]],Sheet6!$H$9:$I$29,2,FALSE),"")</f>
        <v>Дах</v>
      </c>
      <c r="G619" s="1" t="s">
        <v>1561</v>
      </c>
      <c r="H619" t="s">
        <v>69</v>
      </c>
      <c r="J619" s="7">
        <v>0.14599999999999999</v>
      </c>
      <c r="K619" s="8"/>
      <c r="L619" s="8">
        <v>43596</v>
      </c>
      <c r="M619">
        <v>5</v>
      </c>
      <c r="N619" s="49" t="s">
        <v>57</v>
      </c>
      <c r="O619">
        <v>2019</v>
      </c>
      <c r="P619">
        <v>0.16370000000000001</v>
      </c>
      <c r="Q619" s="10"/>
      <c r="R619" s="11">
        <f>ROUND(Таб[[#This Row],[Зелений Тариф ЕЦ]]+Таб[[#This Row],[Зелений Тариф ЕЦ]]*Таб[[#This Row],[% надбавки]],4)</f>
        <v>0.16370000000000001</v>
      </c>
      <c r="S619" s="12"/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2.7E-2</v>
      </c>
      <c r="AX619">
        <v>2.5000000000000001E-2</v>
      </c>
      <c r="AY619">
        <v>2.1000000000000001E-2</v>
      </c>
      <c r="BD6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4.7013277456920299</v>
      </c>
      <c r="BE6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8.1066883122196867</v>
      </c>
      <c r="BF6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13.676589805649538</v>
      </c>
      <c r="BG6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19.439507687465575</v>
      </c>
      <c r="BH6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23.934032159886694</v>
      </c>
      <c r="BI6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24.816392792509244</v>
      </c>
      <c r="BJ6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25.216212454166339</v>
      </c>
      <c r="BK6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21.797065002753953</v>
      </c>
      <c r="BL6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15.303442222047369</v>
      </c>
      <c r="BM6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9.8300489228106063</v>
      </c>
      <c r="BN6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4.5496720119600287</v>
      </c>
      <c r="BO6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3.8465408828389327</v>
      </c>
      <c r="BP619">
        <f>SUM(Таб[[#This Row],[1]:[12]])</f>
        <v>175.21752000000004</v>
      </c>
    </row>
    <row r="620" spans="2:68" ht="51">
      <c r="B620" t="s">
        <v>384</v>
      </c>
      <c r="C620" t="str">
        <f>IFERROR(VLOOKUP(Таб[[#This Row],[Зелений Тариф ЕЦ]],Sheet6!$H$9:$I$29,2,FALSE),"")</f>
        <v>Дах</v>
      </c>
      <c r="G620" s="1" t="s">
        <v>1561</v>
      </c>
      <c r="H620" t="s">
        <v>69</v>
      </c>
      <c r="J620" s="7">
        <v>1.41</v>
      </c>
      <c r="K620" s="8"/>
      <c r="L620" s="8">
        <v>43697</v>
      </c>
      <c r="M620">
        <v>9</v>
      </c>
      <c r="N620" s="49" t="s">
        <v>60</v>
      </c>
      <c r="O620">
        <v>2019</v>
      </c>
      <c r="P620">
        <v>0.16370000000000001</v>
      </c>
      <c r="Q620" s="10"/>
      <c r="R620" s="11">
        <f>ROUND(Таб[[#This Row],[Зелений Тариф ЕЦ]]+Таб[[#This Row],[Зелений Тариф ЕЦ]]*Таб[[#This Row],[% надбавки]],4)</f>
        <v>0.16370000000000001</v>
      </c>
      <c r="S620" s="12"/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BD6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45.403233708395632</v>
      </c>
      <c r="BE6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78.290620001573686</v>
      </c>
      <c r="BF6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132.08213442442363</v>
      </c>
      <c r="BG6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187.73771122826344</v>
      </c>
      <c r="BH6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231.14373524274134</v>
      </c>
      <c r="BI6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239.66516327012351</v>
      </c>
      <c r="BJ6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243.52643534503105</v>
      </c>
      <c r="BK6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210.50590173892516</v>
      </c>
      <c r="BL6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147.79351734990954</v>
      </c>
      <c r="BM6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94.934034117554461</v>
      </c>
      <c r="BN6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43.938613266189314</v>
      </c>
      <c r="BO6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37.148100306869146</v>
      </c>
      <c r="BP620">
        <f>SUM(Таб[[#This Row],[1]:[12]])</f>
        <v>1692.1692</v>
      </c>
    </row>
    <row r="621" spans="2:68" ht="25.5">
      <c r="B621" t="s">
        <v>384</v>
      </c>
      <c r="C621" t="str">
        <f>IFERROR(VLOOKUP(Таб[[#This Row],[Зелений Тариф ЕЦ]],Sheet6!$H$9:$I$29,2,FALSE),"")</f>
        <v>Дах</v>
      </c>
      <c r="G621" s="1" t="s">
        <v>1564</v>
      </c>
      <c r="H621" t="s">
        <v>62</v>
      </c>
      <c r="J621" s="7">
        <v>0.55700000000000005</v>
      </c>
      <c r="K621" s="8"/>
      <c r="L621" s="8">
        <v>43616</v>
      </c>
      <c r="M621">
        <v>5</v>
      </c>
      <c r="N621" s="49" t="s">
        <v>57</v>
      </c>
      <c r="O621">
        <v>2019</v>
      </c>
      <c r="P621">
        <v>0.16370000000000001</v>
      </c>
      <c r="Q621" s="10"/>
      <c r="R621" s="11">
        <f>ROUND(Таб[[#This Row],[Зелений Тариф ЕЦ]]+Таб[[#This Row],[Зелений Тариф ЕЦ]]*Таб[[#This Row],[% надбавки]],4)</f>
        <v>0.16370000000000001</v>
      </c>
      <c r="S621" s="12"/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0.06</v>
      </c>
      <c r="BD6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17.935887358564802</v>
      </c>
      <c r="BE6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30.927571163742236</v>
      </c>
      <c r="BF6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52.177126861279412</v>
      </c>
      <c r="BG6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74.163053300810446</v>
      </c>
      <c r="BH6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91.309972007238969</v>
      </c>
      <c r="BI6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94.676238256353784</v>
      </c>
      <c r="BJ6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96.201577650483898</v>
      </c>
      <c r="BK6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83.157295935164072</v>
      </c>
      <c r="BL6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58.383680258084837</v>
      </c>
      <c r="BM6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37.502309931544573</v>
      </c>
      <c r="BN6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17.357310346998197</v>
      </c>
      <c r="BO6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14.674816929734837</v>
      </c>
      <c r="BP621">
        <f>SUM(Таб[[#This Row],[1]:[12]])</f>
        <v>668.46684000000005</v>
      </c>
    </row>
    <row r="622" spans="2:68" ht="25.5">
      <c r="B622" t="s">
        <v>384</v>
      </c>
      <c r="C622" t="str">
        <f>IFERROR(VLOOKUP(Таб[[#This Row],[Зелений Тариф ЕЦ]],Sheet6!$H$9:$I$29,2,FALSE),"")</f>
        <v>Дах</v>
      </c>
      <c r="G622" s="1" t="s">
        <v>1566</v>
      </c>
      <c r="H622" t="s">
        <v>1465</v>
      </c>
      <c r="J622" s="7">
        <v>0.02</v>
      </c>
      <c r="K622" s="8"/>
      <c r="L622" s="8">
        <v>42362</v>
      </c>
      <c r="M622">
        <v>12</v>
      </c>
      <c r="N622" s="49" t="s">
        <v>71</v>
      </c>
      <c r="O622">
        <v>2015</v>
      </c>
      <c r="P622">
        <v>0.1804</v>
      </c>
      <c r="Q622" s="10"/>
      <c r="R622" s="11">
        <f>ROUND(Таб[[#This Row],[Зелений Тариф ЕЦ]]+Таб[[#This Row],[Зелений Тариф ЕЦ]]*Таб[[#This Row],[% надбавки]],4)</f>
        <v>0.1804</v>
      </c>
      <c r="S622" s="12"/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BD6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0.64401749940986708</v>
      </c>
      <c r="BE6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1.1105052482492721</v>
      </c>
      <c r="BF6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1.8735054528287041</v>
      </c>
      <c r="BG6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2.6629462585569281</v>
      </c>
      <c r="BH6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3.2786345424502321</v>
      </c>
      <c r="BI6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3.3995058619875689</v>
      </c>
      <c r="BJ6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3.4542756786529232</v>
      </c>
      <c r="BK6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2.9858993154457467</v>
      </c>
      <c r="BL6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2.0963619482256672</v>
      </c>
      <c r="BM6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1.3465820442206311</v>
      </c>
      <c r="BN6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0.62324274136438751</v>
      </c>
      <c r="BO6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0.52692340860807296</v>
      </c>
      <c r="BP622">
        <f>SUM(Таб[[#This Row],[1]:[12]])</f>
        <v>24.002399999999998</v>
      </c>
    </row>
    <row r="623" spans="2:68" ht="38.25">
      <c r="B623" t="s">
        <v>384</v>
      </c>
      <c r="C623" t="str">
        <f>IFERROR(VLOOKUP(Таб[[#This Row],[Зелений Тариф ЕЦ]],Sheet6!$H$9:$I$29,2,FALSE),"")</f>
        <v>Дах</v>
      </c>
      <c r="G623" s="1" t="s">
        <v>1568</v>
      </c>
      <c r="H623" t="s">
        <v>321</v>
      </c>
      <c r="J623" s="7">
        <v>0.09</v>
      </c>
      <c r="K623" s="8"/>
      <c r="L623" s="8">
        <v>43340</v>
      </c>
      <c r="M623">
        <v>8</v>
      </c>
      <c r="N623" s="49" t="s">
        <v>60</v>
      </c>
      <c r="O623">
        <v>2018</v>
      </c>
      <c r="P623">
        <v>0.16370000000000001</v>
      </c>
      <c r="Q623" s="10"/>
      <c r="R623" s="11">
        <f>ROUND(Таб[[#This Row],[Зелений Тариф ЕЦ]]+Таб[[#This Row],[Зелений Тариф ЕЦ]]*Таб[[#This Row],[% надбавки]],4)</f>
        <v>0.16370000000000001</v>
      </c>
      <c r="S623" s="12"/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4.0000000000000001E-3</v>
      </c>
      <c r="AQ623">
        <v>1E-3</v>
      </c>
      <c r="AR623">
        <v>1E-3</v>
      </c>
      <c r="AS623">
        <v>5.0000000000000001E-3</v>
      </c>
      <c r="AT623">
        <v>8.9999999999999993E-3</v>
      </c>
      <c r="AU623">
        <v>1.2999999999999999E-2</v>
      </c>
      <c r="AV623">
        <v>1.0999999999999999E-2</v>
      </c>
      <c r="AW623">
        <v>1.4999999999999999E-2</v>
      </c>
      <c r="AX623">
        <v>6.0000000000000001E-3</v>
      </c>
      <c r="AY623">
        <v>1.2999999999999999E-2</v>
      </c>
      <c r="BD6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2.8980787473444019</v>
      </c>
      <c r="BE6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4.9972736171217242</v>
      </c>
      <c r="BF6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8.4307745377291674</v>
      </c>
      <c r="BG6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11.983258163506175</v>
      </c>
      <c r="BH6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14.753855441026044</v>
      </c>
      <c r="BI6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15.297776378944054</v>
      </c>
      <c r="BJ6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15.544240553938153</v>
      </c>
      <c r="BK6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13.436546919505862</v>
      </c>
      <c r="BL6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9.4336287670155023</v>
      </c>
      <c r="BM6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6.0596191989928379</v>
      </c>
      <c r="BN6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2.804592336139744</v>
      </c>
      <c r="BO6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2.3711553387363287</v>
      </c>
      <c r="BP623">
        <f>SUM(Таб[[#This Row],[1]:[12]])</f>
        <v>108.01079999999999</v>
      </c>
    </row>
    <row r="624" spans="2:68" ht="25.5">
      <c r="B624" t="s">
        <v>384</v>
      </c>
      <c r="C624" t="str">
        <f>IFERROR(VLOOKUP(Таб[[#This Row],[Зелений Тариф ЕЦ]],Sheet6!$H$9:$I$29,2,FALSE),"")</f>
        <v>Дах</v>
      </c>
      <c r="G624" s="1" t="s">
        <v>1571</v>
      </c>
      <c r="H624" t="s">
        <v>69</v>
      </c>
      <c r="I624" t="s">
        <v>1167</v>
      </c>
      <c r="J624" s="7">
        <v>4.4999999999999998E-2</v>
      </c>
      <c r="K624" s="8"/>
      <c r="L624" s="8">
        <v>42537</v>
      </c>
      <c r="M624">
        <v>6</v>
      </c>
      <c r="N624" s="49" t="s">
        <v>57</v>
      </c>
      <c r="O624">
        <v>2016</v>
      </c>
      <c r="P624">
        <v>0.1804</v>
      </c>
      <c r="Q624" s="10"/>
      <c r="R624" s="11">
        <f>ROUND(Таб[[#This Row],[Зелений Тариф ЕЦ]]+Таб[[#This Row],[Зелений Тариф ЕЦ]]*Таб[[#This Row],[% надбавки]],4)</f>
        <v>0.1804</v>
      </c>
      <c r="S624" s="12"/>
      <c r="T624">
        <v>2E-3</v>
      </c>
      <c r="U624">
        <v>3.0000000000000001E-3</v>
      </c>
      <c r="V624">
        <v>7.0000000000000001E-3</v>
      </c>
      <c r="W624">
        <v>5.9999999999999984E-3</v>
      </c>
      <c r="X624">
        <v>4.0000000000000001E-3</v>
      </c>
      <c r="Y624">
        <v>8.0000000000000002E-3</v>
      </c>
      <c r="Z624">
        <v>6.9999999999999993E-3</v>
      </c>
      <c r="AA624">
        <v>6.9999999999999993E-3</v>
      </c>
      <c r="AB624">
        <v>6.0000000000000053E-3</v>
      </c>
      <c r="AC624">
        <v>2.9999999999999957E-3</v>
      </c>
      <c r="AD624">
        <v>2.0000000000000018E-3</v>
      </c>
      <c r="AE624">
        <v>1.0000000000000009E-3</v>
      </c>
      <c r="AF624">
        <v>2E-3</v>
      </c>
      <c r="AG624">
        <v>2E-3</v>
      </c>
      <c r="AH624">
        <v>3.0000000000000001E-3</v>
      </c>
      <c r="AI624">
        <v>7.0000000000000001E-3</v>
      </c>
      <c r="AJ624">
        <v>8.0000000000000002E-3</v>
      </c>
      <c r="AK624">
        <v>8.0000000000000002E-3</v>
      </c>
      <c r="AL624">
        <v>7.0000000000000001E-3</v>
      </c>
      <c r="AM624">
        <v>8.0000000000000002E-3</v>
      </c>
      <c r="AN624">
        <v>5.0000000000000001E-3</v>
      </c>
      <c r="AO624">
        <v>5.0000000000000001E-3</v>
      </c>
      <c r="AP624">
        <v>2E-3</v>
      </c>
      <c r="AQ624">
        <v>1E-3</v>
      </c>
      <c r="AR624">
        <v>1E-3</v>
      </c>
      <c r="AS624">
        <v>3.0000000000000001E-3</v>
      </c>
      <c r="AT624">
        <v>4.0000000000000001E-3</v>
      </c>
      <c r="AU624">
        <v>5.0000000000000001E-3</v>
      </c>
      <c r="AV624">
        <v>7.0000000000000001E-3</v>
      </c>
      <c r="AW624">
        <v>8.0000000000000002E-3</v>
      </c>
      <c r="AX624">
        <v>0</v>
      </c>
      <c r="AY624">
        <v>2E-3</v>
      </c>
      <c r="BD6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1.4490393736722009</v>
      </c>
      <c r="BE6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2.4986368085608621</v>
      </c>
      <c r="BF6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4.2153872688645837</v>
      </c>
      <c r="BG6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5.9916290817530875</v>
      </c>
      <c r="BH6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7.3769277205130219</v>
      </c>
      <c r="BI6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7.6488881894720269</v>
      </c>
      <c r="BJ6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7.7721202769690763</v>
      </c>
      <c r="BK6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6.7182734597529308</v>
      </c>
      <c r="BL6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4.7168143835077512</v>
      </c>
      <c r="BM6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3.0298095994964189</v>
      </c>
      <c r="BN6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1.402296168069872</v>
      </c>
      <c r="BO6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1.1855776693681643</v>
      </c>
      <c r="BP624">
        <f>SUM(Таб[[#This Row],[1]:[12]])</f>
        <v>54.005399999999995</v>
      </c>
    </row>
    <row r="625" spans="2:68" ht="25.5">
      <c r="B625" t="s">
        <v>384</v>
      </c>
      <c r="C625" t="str">
        <f>IFERROR(VLOOKUP(Таб[[#This Row],[Зелений Тариф ЕЦ]],Sheet6!$H$9:$I$29,2,FALSE),"")</f>
        <v>Дах</v>
      </c>
      <c r="G625" s="1" t="s">
        <v>1574</v>
      </c>
      <c r="H625" t="s">
        <v>321</v>
      </c>
      <c r="J625" s="7">
        <v>0.23599999999999999</v>
      </c>
      <c r="K625" s="8"/>
      <c r="L625" s="8">
        <v>43616</v>
      </c>
      <c r="M625">
        <v>5</v>
      </c>
      <c r="N625" s="49" t="s">
        <v>57</v>
      </c>
      <c r="O625">
        <v>2019</v>
      </c>
      <c r="P625">
        <v>0.16370000000000001</v>
      </c>
      <c r="Q625" s="10"/>
      <c r="R625" s="11">
        <f>ROUND(Таб[[#This Row],[Зелений Тариф ЕЦ]]+Таб[[#This Row],[Зелений Тариф ЕЦ]]*Таб[[#This Row],[% надбавки]],4)</f>
        <v>0.16370000000000001</v>
      </c>
      <c r="S625" s="12"/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BD6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7.5994064930364313</v>
      </c>
      <c r="BE6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13.103961929341413</v>
      </c>
      <c r="BF6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22.107364343378705</v>
      </c>
      <c r="BG6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31.42276585097175</v>
      </c>
      <c r="BH6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38.687887600912738</v>
      </c>
      <c r="BI6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40.114169171453298</v>
      </c>
      <c r="BJ6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40.760453008104491</v>
      </c>
      <c r="BK6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35.233611922259811</v>
      </c>
      <c r="BL6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24.737070989062868</v>
      </c>
      <c r="BM6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15.889668121803446</v>
      </c>
      <c r="BN6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7.3542643480997727</v>
      </c>
      <c r="BO6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6.2176962215752622</v>
      </c>
      <c r="BP625">
        <f>SUM(Таб[[#This Row],[1]:[12]])</f>
        <v>283.22831999999994</v>
      </c>
    </row>
    <row r="626" spans="2:68" ht="38.25">
      <c r="B626" t="s">
        <v>384</v>
      </c>
      <c r="C626" t="str">
        <f>IFERROR(VLOOKUP(Таб[[#This Row],[Зелений Тариф ЕЦ]],Sheet6!$H$9:$I$29,2,FALSE),"")</f>
        <v>Дах</v>
      </c>
      <c r="G626" s="1" t="s">
        <v>1080</v>
      </c>
      <c r="H626" t="s">
        <v>136</v>
      </c>
      <c r="J626" s="7">
        <v>0.16</v>
      </c>
      <c r="K626" s="8"/>
      <c r="L626" s="8">
        <v>42509</v>
      </c>
      <c r="M626">
        <v>5</v>
      </c>
      <c r="N626" s="49" t="s">
        <v>57</v>
      </c>
      <c r="O626">
        <v>2016</v>
      </c>
      <c r="P626">
        <v>0.1804</v>
      </c>
      <c r="Q626" s="10"/>
      <c r="R626" s="11">
        <f>ROUND(Таб[[#This Row],[Зелений Тариф ЕЦ]]+Таб[[#This Row],[Зелений Тариф ЕЦ]]*Таб[[#This Row],[% надбавки]],4)</f>
        <v>0.1804</v>
      </c>
      <c r="S626" s="12"/>
      <c r="T626">
        <v>4.0000000000000001E-3</v>
      </c>
      <c r="U626">
        <v>6.9999999999999993E-3</v>
      </c>
      <c r="V626">
        <v>1.4000000000000002E-2</v>
      </c>
      <c r="W626">
        <v>1.8999999999999996E-2</v>
      </c>
      <c r="X626">
        <v>2.4000000000000007E-2</v>
      </c>
      <c r="Y626">
        <v>2.3999999999999994E-2</v>
      </c>
      <c r="Z626">
        <v>2.4000000000000007E-2</v>
      </c>
      <c r="AA626">
        <v>2.2000000000000006E-2</v>
      </c>
      <c r="AB626">
        <v>1.6999999999999987E-2</v>
      </c>
      <c r="AC626">
        <v>7.0000000000000062E-3</v>
      </c>
      <c r="AD626">
        <v>2.0000000000000018E-3</v>
      </c>
      <c r="AE626">
        <v>3.0000000000000027E-3</v>
      </c>
      <c r="AF626">
        <v>1E-3</v>
      </c>
      <c r="AG626">
        <v>4.0000000000000001E-3</v>
      </c>
      <c r="AH626">
        <v>7.0000000000000001E-3</v>
      </c>
      <c r="AI626">
        <v>0.02</v>
      </c>
      <c r="AJ626">
        <v>2.1999999999999999E-2</v>
      </c>
      <c r="AK626">
        <v>1.7000000000000001E-2</v>
      </c>
      <c r="AL626">
        <v>0.02</v>
      </c>
      <c r="AM626">
        <v>2.1999999999999999E-2</v>
      </c>
      <c r="AN626">
        <v>1.2999999999999999E-2</v>
      </c>
      <c r="AO626">
        <v>1.0999999999999999E-2</v>
      </c>
      <c r="AP626">
        <v>4.0000000000000001E-3</v>
      </c>
      <c r="AQ626">
        <v>0</v>
      </c>
      <c r="AR626">
        <v>1E-3</v>
      </c>
      <c r="AS626">
        <v>6.0000000000000001E-3</v>
      </c>
      <c r="AT626">
        <v>1.2999999999999999E-2</v>
      </c>
      <c r="AU626">
        <v>1.7999999999999999E-2</v>
      </c>
      <c r="AV626">
        <v>1.7000000000000001E-2</v>
      </c>
      <c r="AW626">
        <v>2.1000000000000001E-2</v>
      </c>
      <c r="AX626">
        <v>1.9E-2</v>
      </c>
      <c r="AY626">
        <v>1.9E-2</v>
      </c>
      <c r="BD6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5.1521399952789366</v>
      </c>
      <c r="BE6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8.8840419859941768</v>
      </c>
      <c r="BF6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14.988043622629633</v>
      </c>
      <c r="BG6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21.303570068455425</v>
      </c>
      <c r="BH6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26.229076339601857</v>
      </c>
      <c r="BI6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27.196046895900551</v>
      </c>
      <c r="BJ6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27.634205429223385</v>
      </c>
      <c r="BK6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23.887194523565974</v>
      </c>
      <c r="BL6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16.770895585805338</v>
      </c>
      <c r="BM6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10.772656353765049</v>
      </c>
      <c r="BN6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4.9859419309151001</v>
      </c>
      <c r="BO6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4.2153872688645837</v>
      </c>
      <c r="BP626">
        <f>SUM(Таб[[#This Row],[1]:[12]])</f>
        <v>192.01919999999998</v>
      </c>
    </row>
    <row r="627" spans="2:68" ht="38.25">
      <c r="B627" t="s">
        <v>384</v>
      </c>
      <c r="C627" t="str">
        <f>IFERROR(VLOOKUP(Таб[[#This Row],[Зелений Тариф ЕЦ]],Sheet6!$H$9:$I$29,2,FALSE),"")</f>
        <v>Дах</v>
      </c>
      <c r="G627" s="1" t="s">
        <v>1579</v>
      </c>
      <c r="H627" t="s">
        <v>1465</v>
      </c>
      <c r="J627" s="7">
        <v>0.105</v>
      </c>
      <c r="K627" s="8"/>
      <c r="L627" s="8">
        <v>42753</v>
      </c>
      <c r="M627">
        <v>1</v>
      </c>
      <c r="N627" s="49" t="s">
        <v>67</v>
      </c>
      <c r="O627">
        <v>2017</v>
      </c>
      <c r="P627">
        <v>0.17230000000000001</v>
      </c>
      <c r="Q627" s="10"/>
      <c r="R627" s="11">
        <f>ROUND(Таб[[#This Row],[Зелений Тариф ЕЦ]]+Таб[[#This Row],[Зелений Тариф ЕЦ]]*Таб[[#This Row],[% надбавки]],4)</f>
        <v>0.17230000000000001</v>
      </c>
      <c r="S627" s="12"/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4.0000000000000001E-3</v>
      </c>
      <c r="AD627">
        <v>2E-3</v>
      </c>
      <c r="AE627">
        <v>1E-3</v>
      </c>
      <c r="AF627">
        <v>1E-3</v>
      </c>
      <c r="AG627">
        <v>1E-3</v>
      </c>
      <c r="AH627">
        <v>3.0000000000000001E-3</v>
      </c>
      <c r="AI627">
        <v>1.2999999999999999E-2</v>
      </c>
      <c r="AJ627">
        <v>1.7000000000000001E-2</v>
      </c>
      <c r="AK627">
        <v>1.6E-2</v>
      </c>
      <c r="AL627">
        <v>1.2999999999999999E-2</v>
      </c>
      <c r="AM627">
        <v>1.4999999999999999E-2</v>
      </c>
      <c r="AN627">
        <v>0.01</v>
      </c>
      <c r="AO627">
        <v>7.0000000000000001E-3</v>
      </c>
      <c r="AP627">
        <v>2E-3</v>
      </c>
      <c r="AQ627">
        <v>0</v>
      </c>
      <c r="AR627">
        <v>0</v>
      </c>
      <c r="AS627">
        <v>3.0000000000000001E-3</v>
      </c>
      <c r="AT627">
        <v>8.0000000000000002E-3</v>
      </c>
      <c r="AU627">
        <v>1.0999999999999999E-2</v>
      </c>
      <c r="AV627">
        <v>1.2999999999999999E-2</v>
      </c>
      <c r="AW627">
        <v>1.6E-2</v>
      </c>
      <c r="AX627">
        <v>0</v>
      </c>
      <c r="AY627">
        <v>0</v>
      </c>
      <c r="BD6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3.3810918719018019</v>
      </c>
      <c r="BE6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5.8301525533086789</v>
      </c>
      <c r="BF6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9.8359036273506959</v>
      </c>
      <c r="BG6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13.980467857423871</v>
      </c>
      <c r="BH6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17.212831347863716</v>
      </c>
      <c r="BI6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17.84740577543473</v>
      </c>
      <c r="BJ6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18.134947312927842</v>
      </c>
      <c r="BK6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15.67597140609017</v>
      </c>
      <c r="BL6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11.005900228184752</v>
      </c>
      <c r="BM6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7.0695557321583111</v>
      </c>
      <c r="BN6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3.2720243921630345</v>
      </c>
      <c r="BO6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2.766347895192383</v>
      </c>
      <c r="BP627">
        <f>SUM(Таб[[#This Row],[1]:[12]])</f>
        <v>126.01259999999998</v>
      </c>
    </row>
    <row r="628" spans="2:68" ht="25.5">
      <c r="B628" t="s">
        <v>384</v>
      </c>
      <c r="C628" t="str">
        <f>IFERROR(VLOOKUP(Таб[[#This Row],[Зелений Тариф ЕЦ]],Sheet6!$H$9:$I$29,2,FALSE),"")</f>
        <v>Дах</v>
      </c>
      <c r="G628" s="1" t="s">
        <v>1581</v>
      </c>
      <c r="H628" t="s">
        <v>98</v>
      </c>
      <c r="J628" s="7">
        <v>0.189</v>
      </c>
      <c r="K628" s="8"/>
      <c r="L628" s="8">
        <v>43641</v>
      </c>
      <c r="M628">
        <v>6</v>
      </c>
      <c r="N628" s="49" t="s">
        <v>57</v>
      </c>
      <c r="O628">
        <v>2019</v>
      </c>
      <c r="P628">
        <v>0.16370000000000001</v>
      </c>
      <c r="Q628" s="10"/>
      <c r="R628" s="11">
        <f>ROUND(Таб[[#This Row],[Зелений Тариф ЕЦ]]+Таб[[#This Row],[Зелений Тариф ЕЦ]]*Таб[[#This Row],[% надбавки]],4)</f>
        <v>0.16370000000000001</v>
      </c>
      <c r="S628" s="12"/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1.6E-2</v>
      </c>
      <c r="BD6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6.0859653694232438</v>
      </c>
      <c r="BE6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10.494274595955623</v>
      </c>
      <c r="BF6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17.704626529231255</v>
      </c>
      <c r="BG6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25.164842143362968</v>
      </c>
      <c r="BH6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30.983096426154695</v>
      </c>
      <c r="BI6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32.125330395782512</v>
      </c>
      <c r="BJ6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32.642905163270122</v>
      </c>
      <c r="BK6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28.216748530962313</v>
      </c>
      <c r="BL6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19.810620410732554</v>
      </c>
      <c r="BM6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12.725200317884964</v>
      </c>
      <c r="BN6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5.889643905893462</v>
      </c>
      <c r="BO6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4.9794262113462899</v>
      </c>
      <c r="BP628">
        <f>SUM(Таб[[#This Row],[1]:[12]])</f>
        <v>226.82268000000002</v>
      </c>
    </row>
    <row r="629" spans="2:68" ht="51">
      <c r="B629" t="s">
        <v>384</v>
      </c>
      <c r="C629" t="str">
        <f>IFERROR(VLOOKUP(Таб[[#This Row],[Зелений Тариф ЕЦ]],Sheet6!$H$9:$I$29,2,FALSE),"")</f>
        <v>Дах</v>
      </c>
      <c r="G629" s="1" t="s">
        <v>1583</v>
      </c>
      <c r="H629" t="s">
        <v>233</v>
      </c>
      <c r="J629" s="7">
        <v>1.1539999999999999</v>
      </c>
      <c r="K629" s="8"/>
      <c r="L629" s="8">
        <v>43637</v>
      </c>
      <c r="M629">
        <v>6</v>
      </c>
      <c r="N629" s="49" t="s">
        <v>57</v>
      </c>
      <c r="O629">
        <v>2019</v>
      </c>
      <c r="P629">
        <v>0.16370000000000001</v>
      </c>
      <c r="Q629" s="10"/>
      <c r="R629" s="11">
        <f>ROUND(Таб[[#This Row],[Зелений Тариф ЕЦ]]+Таб[[#This Row],[Зелений Тариф ЕЦ]]*Таб[[#This Row],[% надбавки]],4)</f>
        <v>0.16370000000000001</v>
      </c>
      <c r="S629" s="12"/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3.3000000000000002E-2</v>
      </c>
      <c r="AY629">
        <v>0.16500000000000001</v>
      </c>
      <c r="BD6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37.159809715949329</v>
      </c>
      <c r="BE6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64.076152823982994</v>
      </c>
      <c r="BF6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108.10126462821623</v>
      </c>
      <c r="BG6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153.65199911873475</v>
      </c>
      <c r="BH6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189.17721309937838</v>
      </c>
      <c r="BI6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196.15148823668267</v>
      </c>
      <c r="BJ6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199.31170665827364</v>
      </c>
      <c r="BK6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172.28639050121961</v>
      </c>
      <c r="BL6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120.96008441262097</v>
      </c>
      <c r="BM6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77.697783951530397</v>
      </c>
      <c r="BN6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35.961106176725153</v>
      </c>
      <c r="BO6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30.40348067668581</v>
      </c>
      <c r="BP629">
        <f>SUM(Таб[[#This Row],[1]:[12]])</f>
        <v>1384.93848</v>
      </c>
    </row>
    <row r="630" spans="2:68" ht="51">
      <c r="B630" t="s">
        <v>384</v>
      </c>
      <c r="C630" t="str">
        <f>IFERROR(VLOOKUP(Таб[[#This Row],[Зелений Тариф ЕЦ]],Sheet6!$H$9:$I$29,2,FALSE),"")</f>
        <v>Дах</v>
      </c>
      <c r="G630" s="1" t="s">
        <v>1583</v>
      </c>
      <c r="H630" t="s">
        <v>233</v>
      </c>
      <c r="J630" s="7">
        <v>0.09</v>
      </c>
      <c r="K630" s="8"/>
      <c r="L630" s="8">
        <v>43637</v>
      </c>
      <c r="M630">
        <v>6</v>
      </c>
      <c r="N630" s="49" t="s">
        <v>57</v>
      </c>
      <c r="O630">
        <v>2019</v>
      </c>
      <c r="P630">
        <v>0.16370000000000001</v>
      </c>
      <c r="Q630" s="10"/>
      <c r="R630" s="11">
        <f>ROUND(Таб[[#This Row],[Зелений Тариф ЕЦ]]+Таб[[#This Row],[Зелений Тариф ЕЦ]]*Таб[[#This Row],[% надбавки]],4)</f>
        <v>0.16370000000000001</v>
      </c>
      <c r="S630" s="12"/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BD6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2.8980787473444019</v>
      </c>
      <c r="BE6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4.9972736171217242</v>
      </c>
      <c r="BF6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8.4307745377291674</v>
      </c>
      <c r="BG6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11.983258163506175</v>
      </c>
      <c r="BH6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14.753855441026044</v>
      </c>
      <c r="BI6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15.297776378944054</v>
      </c>
      <c r="BJ6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15.544240553938153</v>
      </c>
      <c r="BK6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13.436546919505862</v>
      </c>
      <c r="BL6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9.4336287670155023</v>
      </c>
      <c r="BM6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6.0596191989928379</v>
      </c>
      <c r="BN6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2.804592336139744</v>
      </c>
      <c r="BO6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2.3711553387363287</v>
      </c>
      <c r="BP630">
        <f>SUM(Таб[[#This Row],[1]:[12]])</f>
        <v>108.01079999999999</v>
      </c>
    </row>
    <row r="631" spans="2:68" ht="38.25">
      <c r="B631" t="s">
        <v>384</v>
      </c>
      <c r="C631" t="str">
        <f>IFERROR(VLOOKUP(Таб[[#This Row],[Зелений Тариф ЕЦ]],Sheet6!$H$9:$I$29,2,FALSE),"")</f>
        <v>Дах</v>
      </c>
      <c r="G631" s="1" t="s">
        <v>1588</v>
      </c>
      <c r="H631" t="s">
        <v>1465</v>
      </c>
      <c r="J631" s="7">
        <v>0.19800000000000001</v>
      </c>
      <c r="K631" s="8"/>
      <c r="L631" s="8">
        <v>43613</v>
      </c>
      <c r="M631">
        <v>5</v>
      </c>
      <c r="N631" s="49" t="s">
        <v>57</v>
      </c>
      <c r="O631">
        <v>2019</v>
      </c>
      <c r="P631">
        <v>0.16370000000000001</v>
      </c>
      <c r="Q631" s="10"/>
      <c r="R631" s="11">
        <f>ROUND(Таб[[#This Row],[Зелений Тариф ЕЦ]]+Таб[[#This Row],[Зелений Тариф ЕЦ]]*Таб[[#This Row],[% надбавки]],4)</f>
        <v>0.16370000000000001</v>
      </c>
      <c r="S631" s="12"/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BD6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6.3757732441576849</v>
      </c>
      <c r="BE6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10.994001957667797</v>
      </c>
      <c r="BF6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18.547703983004169</v>
      </c>
      <c r="BG6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26.363167959713586</v>
      </c>
      <c r="BH6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32.458481970257296</v>
      </c>
      <c r="BI6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33.655108033676925</v>
      </c>
      <c r="BJ6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34.197329218663938</v>
      </c>
      <c r="BK6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29.5604032229129</v>
      </c>
      <c r="BL6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20.753983287434103</v>
      </c>
      <c r="BM6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13.331162237784248</v>
      </c>
      <c r="BN6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6.1701031395074377</v>
      </c>
      <c r="BO6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5.2165417452199234</v>
      </c>
      <c r="BP631">
        <f>SUM(Таб[[#This Row],[1]:[12]])</f>
        <v>237.62376</v>
      </c>
    </row>
    <row r="632" spans="2:68">
      <c r="B632" t="s">
        <v>384</v>
      </c>
      <c r="C632" t="str">
        <f>IFERROR(VLOOKUP(Таб[[#This Row],[Зелений Тариф ЕЦ]],Sheet6!$H$9:$I$29,2,FALSE),"")</f>
        <v>Дах</v>
      </c>
      <c r="G632" s="1" t="s">
        <v>1590</v>
      </c>
      <c r="H632" t="s">
        <v>122</v>
      </c>
      <c r="J632" s="7">
        <v>7.0000000000000007E-2</v>
      </c>
      <c r="K632" s="8"/>
      <c r="L632" s="8">
        <v>43144</v>
      </c>
      <c r="M632">
        <v>2</v>
      </c>
      <c r="N632" s="49" t="s">
        <v>67</v>
      </c>
      <c r="O632">
        <v>2018</v>
      </c>
      <c r="P632">
        <v>0.16370000000000001</v>
      </c>
      <c r="Q632" s="10"/>
      <c r="R632" s="11">
        <f>ROUND(Таб[[#This Row],[Зелений Тариф ЕЦ]]+Таб[[#This Row],[Зелений Тариф ЕЦ]]*Таб[[#This Row],[% надбавки]],4)</f>
        <v>0.16370000000000001</v>
      </c>
      <c r="S632" s="12"/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8.0000000000000002E-3</v>
      </c>
      <c r="AO632">
        <v>7.0000000000000001E-3</v>
      </c>
      <c r="AP632">
        <v>3.0000000000000001E-3</v>
      </c>
      <c r="AQ632">
        <v>0</v>
      </c>
      <c r="AR632">
        <v>0</v>
      </c>
      <c r="AS632">
        <v>3.0000000000000001E-3</v>
      </c>
      <c r="AT632">
        <v>7.0000000000000001E-3</v>
      </c>
      <c r="AU632">
        <v>1.0999999999999999E-2</v>
      </c>
      <c r="AV632">
        <v>1.2E-2</v>
      </c>
      <c r="AW632">
        <v>1.4999999999999999E-2</v>
      </c>
      <c r="AX632">
        <v>1.4999999999999999E-2</v>
      </c>
      <c r="AY632">
        <v>1.2999999999999999E-2</v>
      </c>
      <c r="BD6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2.2540612479345352</v>
      </c>
      <c r="BE6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3.886768368872453</v>
      </c>
      <c r="BF6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6.5572690849004642</v>
      </c>
      <c r="BG6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9.32031190494925</v>
      </c>
      <c r="BH6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11.475220898575813</v>
      </c>
      <c r="BI6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11.89827051695649</v>
      </c>
      <c r="BJ6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12.089964875285233</v>
      </c>
      <c r="BK6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10.450647604060116</v>
      </c>
      <c r="BL6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7.3372668187898364</v>
      </c>
      <c r="BM6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4.7130371547722092</v>
      </c>
      <c r="BN6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2.1813495947753565</v>
      </c>
      <c r="BO6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1.8442319301282559</v>
      </c>
      <c r="BP632">
        <f>SUM(Таб[[#This Row],[1]:[12]])</f>
        <v>84.008400000000009</v>
      </c>
    </row>
    <row r="633" spans="2:68" ht="25.5">
      <c r="B633" t="s">
        <v>384</v>
      </c>
      <c r="C633" t="str">
        <f>IFERROR(VLOOKUP(Таб[[#This Row],[Зелений Тариф ЕЦ]],Sheet6!$H$9:$I$29,2,FALSE),"")</f>
        <v>Дах</v>
      </c>
      <c r="G633" s="1" t="s">
        <v>1592</v>
      </c>
      <c r="H633" t="s">
        <v>69</v>
      </c>
      <c r="J633" s="7">
        <v>0.151</v>
      </c>
      <c r="K633" s="8"/>
      <c r="L633" s="8">
        <v>43096</v>
      </c>
      <c r="M633">
        <v>12</v>
      </c>
      <c r="N633" s="49" t="s">
        <v>71</v>
      </c>
      <c r="O633">
        <v>2017</v>
      </c>
      <c r="P633">
        <v>0.16370000000000001</v>
      </c>
      <c r="Q633" s="10"/>
      <c r="R633" s="11">
        <f>ROUND(Таб[[#This Row],[Зелений Тариф ЕЦ]]+Таб[[#This Row],[Зелений Тариф ЕЦ]]*Таб[[#This Row],[% надбавки]],4)</f>
        <v>0.16370000000000001</v>
      </c>
      <c r="S633" s="12"/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4.0000000000000001E-3</v>
      </c>
      <c r="AH633">
        <v>8.9999999999999993E-3</v>
      </c>
      <c r="AI633">
        <v>0.02</v>
      </c>
      <c r="AJ633">
        <v>2.3E-2</v>
      </c>
      <c r="AK633">
        <v>2.4E-2</v>
      </c>
      <c r="AL633">
        <v>1.9E-2</v>
      </c>
      <c r="AM633">
        <v>2.1999999999999999E-2</v>
      </c>
      <c r="AN633">
        <v>1.2999999999999999E-2</v>
      </c>
      <c r="AO633">
        <v>1.2E-2</v>
      </c>
      <c r="AP633">
        <v>5.0000000000000001E-3</v>
      </c>
      <c r="AQ633">
        <v>1E-3</v>
      </c>
      <c r="AR633">
        <v>2E-3</v>
      </c>
      <c r="AS633">
        <v>6.0000000000000001E-3</v>
      </c>
      <c r="AT633">
        <v>1.2999999999999999E-2</v>
      </c>
      <c r="AU633">
        <v>1.7999999999999999E-2</v>
      </c>
      <c r="AV633">
        <v>2.1000000000000001E-2</v>
      </c>
      <c r="AW633">
        <v>2.1999999999999999E-2</v>
      </c>
      <c r="AX633">
        <v>2.1999999999999999E-2</v>
      </c>
      <c r="AY633">
        <v>1.7999999999999999E-2</v>
      </c>
      <c r="BD6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4.8623321205444974</v>
      </c>
      <c r="BE6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8.3843146242820055</v>
      </c>
      <c r="BF6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14.144966168856715</v>
      </c>
      <c r="BG6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20.105244252104807</v>
      </c>
      <c r="BH6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24.753690795499253</v>
      </c>
      <c r="BI6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25.666269258006139</v>
      </c>
      <c r="BJ6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26.079781373829569</v>
      </c>
      <c r="BK6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22.543539831615391</v>
      </c>
      <c r="BL6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15.827532709103785</v>
      </c>
      <c r="BM6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10.166694433865763</v>
      </c>
      <c r="BN6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4.7054826973011252</v>
      </c>
      <c r="BO6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3.9782717349909511</v>
      </c>
      <c r="BP633">
        <f>SUM(Таб[[#This Row],[1]:[12]])</f>
        <v>181.21812000000003</v>
      </c>
    </row>
    <row r="634" spans="2:68" ht="25.5">
      <c r="B634" t="s">
        <v>384</v>
      </c>
      <c r="C634" t="str">
        <f>IFERROR(VLOOKUP(Таб[[#This Row],[Зелений Тариф ЕЦ]],Sheet6!$H$9:$I$29,2,FALSE),"")</f>
        <v>Дах</v>
      </c>
      <c r="G634" s="1" t="s">
        <v>1592</v>
      </c>
      <c r="H634" t="s">
        <v>69</v>
      </c>
      <c r="J634" s="7">
        <v>7.6999999999999999E-2</v>
      </c>
      <c r="K634" s="8"/>
      <c r="L634" s="8">
        <v>43567</v>
      </c>
      <c r="M634">
        <v>4</v>
      </c>
      <c r="N634" s="49" t="s">
        <v>57</v>
      </c>
      <c r="O634">
        <v>2019</v>
      </c>
      <c r="P634">
        <v>0.16370000000000001</v>
      </c>
      <c r="Q634" s="10"/>
      <c r="R634" s="11">
        <f>ROUND(Таб[[#This Row],[Зелений Тариф ЕЦ]]+Таб[[#This Row],[Зелений Тариф ЕЦ]]*Таб[[#This Row],[% надбавки]],4)</f>
        <v>0.16370000000000001</v>
      </c>
      <c r="S634" s="12"/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BD6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2.4794673727279886</v>
      </c>
      <c r="BE6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4.2754452057596977</v>
      </c>
      <c r="BF6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7.2129959933905106</v>
      </c>
      <c r="BG6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10.252343095444173</v>
      </c>
      <c r="BH6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12.622742988433394</v>
      </c>
      <c r="BI6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13.088097568652136</v>
      </c>
      <c r="BJ6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13.298961362813754</v>
      </c>
      <c r="BK6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11.495712364466126</v>
      </c>
      <c r="BL6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8.0709935006688163</v>
      </c>
      <c r="BM6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5.1843408702494287</v>
      </c>
      <c r="BN6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2.3994845542528922</v>
      </c>
      <c r="BO6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2.028655123141081</v>
      </c>
      <c r="BP634">
        <f>SUM(Таб[[#This Row],[1]:[12]])</f>
        <v>92.409240000000011</v>
      </c>
    </row>
    <row r="635" spans="2:68" ht="38.25">
      <c r="B635" t="s">
        <v>384</v>
      </c>
      <c r="C635" t="str">
        <f>IFERROR(VLOOKUP(Таб[[#This Row],[Зелений Тариф ЕЦ]],Sheet6!$H$9:$I$29,2,FALSE),"")</f>
        <v>Дах</v>
      </c>
      <c r="G635" s="1" t="s">
        <v>1595</v>
      </c>
      <c r="H635" t="s">
        <v>141</v>
      </c>
      <c r="J635" s="7">
        <v>0.122</v>
      </c>
      <c r="K635" s="8"/>
      <c r="L635" s="8">
        <v>43596</v>
      </c>
      <c r="M635">
        <v>5</v>
      </c>
      <c r="N635" s="49" t="s">
        <v>57</v>
      </c>
      <c r="O635">
        <v>2019</v>
      </c>
      <c r="P635">
        <v>0.16370000000000001</v>
      </c>
      <c r="Q635" s="10"/>
      <c r="R635" s="11">
        <f>ROUND(Таб[[#This Row],[Зелений Тариф ЕЦ]]+Таб[[#This Row],[Зелений Тариф ЕЦ]]*Таб[[#This Row],[% надбавки]],4)</f>
        <v>0.16370000000000001</v>
      </c>
      <c r="S635" s="12"/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0.02</v>
      </c>
      <c r="AX635">
        <v>0.02</v>
      </c>
      <c r="AY635">
        <v>1.7999999999999999E-2</v>
      </c>
      <c r="BD6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3.9285067464001888</v>
      </c>
      <c r="BE6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6.7740820143205607</v>
      </c>
      <c r="BF6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11.428383262255094</v>
      </c>
      <c r="BG6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16.243972177197264</v>
      </c>
      <c r="BH6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19.999670708946418</v>
      </c>
      <c r="BI6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20.736985758124163</v>
      </c>
      <c r="BJ6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21.071081639782832</v>
      </c>
      <c r="BK6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18.213985824219058</v>
      </c>
      <c r="BL6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12.787807884176569</v>
      </c>
      <c r="BM6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8.2141504697458494</v>
      </c>
      <c r="BN6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3.8017807223227638</v>
      </c>
      <c r="BO6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3.2142327925092458</v>
      </c>
      <c r="BP635">
        <f>SUM(Таб[[#This Row],[1]:[12]])</f>
        <v>146.41464000000002</v>
      </c>
    </row>
    <row r="636" spans="2:68" ht="38.25">
      <c r="B636" t="s">
        <v>384</v>
      </c>
      <c r="C636" t="str">
        <f>IFERROR(VLOOKUP(Таб[[#This Row],[Зелений Тариф ЕЦ]],Sheet6!$H$9:$I$29,2,FALSE),"")</f>
        <v>Дах</v>
      </c>
      <c r="G636" s="1" t="s">
        <v>1595</v>
      </c>
      <c r="H636" t="s">
        <v>141</v>
      </c>
      <c r="J636" s="7">
        <v>0.29899999999999999</v>
      </c>
      <c r="K636" s="8"/>
      <c r="L636" s="8">
        <v>43700</v>
      </c>
      <c r="M636">
        <v>8</v>
      </c>
      <c r="N636" s="49" t="s">
        <v>60</v>
      </c>
      <c r="O636">
        <v>2019</v>
      </c>
      <c r="P636">
        <v>0.16370000000000001</v>
      </c>
      <c r="Q636" s="10"/>
      <c r="R636" s="11">
        <f>ROUND(Таб[[#This Row],[Зелений Тариф ЕЦ]]+Таб[[#This Row],[Зелений Тариф ЕЦ]]*Таб[[#This Row],[% надбавки]],4)</f>
        <v>0.16370000000000001</v>
      </c>
      <c r="S636" s="12"/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BD6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9.6280616161775132</v>
      </c>
      <c r="BE6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16.602053461326619</v>
      </c>
      <c r="BF6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28.008906519789122</v>
      </c>
      <c r="BG6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39.811046565426075</v>
      </c>
      <c r="BH6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49.01558640963097</v>
      </c>
      <c r="BI6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50.82261263671414</v>
      </c>
      <c r="BJ6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51.641421395861201</v>
      </c>
      <c r="BK6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44.639194765913921</v>
      </c>
      <c r="BL6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31.340611125973723</v>
      </c>
      <c r="BM6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20.131401561098432</v>
      </c>
      <c r="BN6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9.317478983397594</v>
      </c>
      <c r="BO6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7.8775049586906913</v>
      </c>
      <c r="BP636">
        <f>SUM(Таб[[#This Row],[1]:[12]])</f>
        <v>358.83588000000003</v>
      </c>
    </row>
    <row r="637" spans="2:68" ht="25.5">
      <c r="B637" t="s">
        <v>384</v>
      </c>
      <c r="C637" t="str">
        <f>IFERROR(VLOOKUP(Таб[[#This Row],[Зелений Тариф ЕЦ]],Sheet6!$H$9:$I$29,2,FALSE),"")</f>
        <v>Дах</v>
      </c>
      <c r="G637" s="1" t="s">
        <v>1599</v>
      </c>
      <c r="H637" t="s">
        <v>163</v>
      </c>
      <c r="J637" s="7">
        <v>0.104</v>
      </c>
      <c r="K637" s="8"/>
      <c r="L637" s="8">
        <v>42733</v>
      </c>
      <c r="M637">
        <v>12</v>
      </c>
      <c r="N637" s="49" t="s">
        <v>71</v>
      </c>
      <c r="O637">
        <v>2016</v>
      </c>
      <c r="P637">
        <v>0.17230000000000001</v>
      </c>
      <c r="Q637" s="10"/>
      <c r="R637" s="11">
        <f>ROUND(Таб[[#This Row],[Зелений Тариф ЕЦ]]+Таб[[#This Row],[Зелений Тариф ЕЦ]]*Таб[[#This Row],[% надбавки]],4)</f>
        <v>0.17230000000000001</v>
      </c>
      <c r="S637" s="12"/>
      <c r="T637">
        <v>0</v>
      </c>
      <c r="U637">
        <v>0</v>
      </c>
      <c r="V637">
        <v>0</v>
      </c>
      <c r="W637">
        <v>0</v>
      </c>
      <c r="X637">
        <v>0</v>
      </c>
      <c r="Y637">
        <v>1.7000000000000001E-2</v>
      </c>
      <c r="Z637">
        <v>1.7000000000000001E-2</v>
      </c>
      <c r="AA637">
        <v>1.3999999999999999E-2</v>
      </c>
      <c r="AB637">
        <v>1.0000000000000002E-2</v>
      </c>
      <c r="AC637">
        <v>4.9999999999999975E-3</v>
      </c>
      <c r="AD637">
        <v>2.0000000000000018E-3</v>
      </c>
      <c r="AE637">
        <v>1.0000000000000009E-3</v>
      </c>
      <c r="AF637">
        <v>1E-3</v>
      </c>
      <c r="AG637">
        <v>4.0000000000000001E-3</v>
      </c>
      <c r="AH637">
        <v>4.0000000000000001E-3</v>
      </c>
      <c r="AI637">
        <v>1.4E-2</v>
      </c>
      <c r="AJ637">
        <v>1.7000000000000001E-2</v>
      </c>
      <c r="AK637">
        <v>1.7000000000000001E-2</v>
      </c>
      <c r="AL637">
        <v>1.4999999999999999E-2</v>
      </c>
      <c r="AM637">
        <v>1.6E-2</v>
      </c>
      <c r="AN637">
        <v>8.9999999999999993E-3</v>
      </c>
      <c r="AO637">
        <v>7.0000000000000001E-3</v>
      </c>
      <c r="AP637">
        <v>2E-3</v>
      </c>
      <c r="AQ637">
        <v>0</v>
      </c>
      <c r="AR637">
        <v>1E-3</v>
      </c>
      <c r="AS637">
        <v>8.0000000000000002E-3</v>
      </c>
      <c r="AT637">
        <v>1.6E-2</v>
      </c>
      <c r="AU637">
        <v>2.5999999999999999E-2</v>
      </c>
      <c r="AV637">
        <v>3.3000000000000002E-2</v>
      </c>
      <c r="AW637">
        <v>4.2999999999999997E-2</v>
      </c>
      <c r="AX637">
        <v>0.04</v>
      </c>
      <c r="AY637">
        <v>1.4E-2</v>
      </c>
      <c r="BD6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3.348890996931309</v>
      </c>
      <c r="BE6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5.7746272908962153</v>
      </c>
      <c r="BF6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9.7422283547092619</v>
      </c>
      <c r="BG6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13.847320544496027</v>
      </c>
      <c r="BH6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17.048899620741203</v>
      </c>
      <c r="BI6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17.677430482335353</v>
      </c>
      <c r="BJ6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17.962233528995199</v>
      </c>
      <c r="BK6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15.526676440317885</v>
      </c>
      <c r="BL6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10.901082130773467</v>
      </c>
      <c r="BM6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7.0022266299472795</v>
      </c>
      <c r="BN6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3.2408622550948145</v>
      </c>
      <c r="BO6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2.7400017247619797</v>
      </c>
      <c r="BP637">
        <f>SUM(Таб[[#This Row],[1]:[12]])</f>
        <v>124.81247999999999</v>
      </c>
    </row>
    <row r="638" spans="2:68" ht="25.5">
      <c r="B638" t="s">
        <v>384</v>
      </c>
      <c r="C638" t="str">
        <f>IFERROR(VLOOKUP(Таб[[#This Row],[Зелений Тариф ЕЦ]],Sheet6!$H$9:$I$29,2,FALSE),"")</f>
        <v>Дах</v>
      </c>
      <c r="G638" s="1" t="s">
        <v>1599</v>
      </c>
      <c r="H638" t="s">
        <v>163</v>
      </c>
      <c r="J638" s="7">
        <v>0.16700000000000001</v>
      </c>
      <c r="K638" s="8"/>
      <c r="L638" s="8">
        <v>43396</v>
      </c>
      <c r="M638">
        <v>10</v>
      </c>
      <c r="N638" s="49" t="s">
        <v>71</v>
      </c>
      <c r="O638">
        <v>2018</v>
      </c>
      <c r="P638">
        <v>0.16370000000000001</v>
      </c>
      <c r="Q638" s="10"/>
      <c r="R638" s="11">
        <f>ROUND(Таб[[#This Row],[Зелений Тариф ЕЦ]]+Таб[[#This Row],[Зелений Тариф ЕЦ]]*Таб[[#This Row],[% надбавки]],4)</f>
        <v>0.16370000000000001</v>
      </c>
      <c r="S638" s="12"/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2.1999999999999999E-2</v>
      </c>
      <c r="BD6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5.3775461200723909</v>
      </c>
      <c r="BE6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9.2727188228814228</v>
      </c>
      <c r="BF6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15.643770531119678</v>
      </c>
      <c r="BG6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22.235601258950354</v>
      </c>
      <c r="BH6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27.376598429459438</v>
      </c>
      <c r="BI6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28.385873947596199</v>
      </c>
      <c r="BJ6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28.843201916751909</v>
      </c>
      <c r="BK6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24.932259283971995</v>
      </c>
      <c r="BL6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17.504622267684322</v>
      </c>
      <c r="BM6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11.243960069242268</v>
      </c>
      <c r="BN6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5.2040768903926367</v>
      </c>
      <c r="BO6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4.3998104618774097</v>
      </c>
      <c r="BP638">
        <f>SUM(Таб[[#This Row],[1]:[12]])</f>
        <v>200.42004000000003</v>
      </c>
    </row>
    <row r="639" spans="2:68" ht="25.5">
      <c r="B639" t="s">
        <v>384</v>
      </c>
      <c r="C639" t="str">
        <f>IFERROR(VLOOKUP(Таб[[#This Row],[Зелений Тариф ЕЦ]],Sheet6!$H$9:$I$29,2,FALSE),"")</f>
        <v>Дах</v>
      </c>
      <c r="G639" s="1" t="s">
        <v>1603</v>
      </c>
      <c r="H639" t="s">
        <v>136</v>
      </c>
      <c r="J639" s="7">
        <v>0.28399999999999997</v>
      </c>
      <c r="K639" s="8"/>
      <c r="L639" s="8">
        <v>43182</v>
      </c>
      <c r="M639">
        <v>3</v>
      </c>
      <c r="N639" s="49" t="s">
        <v>67</v>
      </c>
      <c r="O639">
        <v>2018</v>
      </c>
      <c r="P639">
        <v>0.16370000000000001</v>
      </c>
      <c r="Q639" s="10"/>
      <c r="R639" s="11">
        <f>ROUND(Таб[[#This Row],[Зелений Тариф ЕЦ]]+Таб[[#This Row],[Зелений Тариф ЕЦ]]*Таб[[#This Row],[% надбавки]],4)</f>
        <v>0.16370000000000001</v>
      </c>
      <c r="S639" s="12"/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3.7999999999999999E-2</v>
      </c>
      <c r="AN639">
        <v>2.3E-2</v>
      </c>
      <c r="AO639">
        <v>0.02</v>
      </c>
      <c r="AP639">
        <v>4.0000000000000001E-3</v>
      </c>
      <c r="AQ639">
        <v>0</v>
      </c>
      <c r="AR639">
        <v>0</v>
      </c>
      <c r="AS639">
        <v>8.0000000000000002E-3</v>
      </c>
      <c r="AT639">
        <v>2.3E-2</v>
      </c>
      <c r="AU639">
        <v>2.7E-2</v>
      </c>
      <c r="AV639">
        <v>3.4000000000000002E-2</v>
      </c>
      <c r="AW639">
        <v>4.3999999999999997E-2</v>
      </c>
      <c r="AX639">
        <v>4.2000000000000003E-2</v>
      </c>
      <c r="AY639">
        <v>3.9E-2</v>
      </c>
      <c r="BD6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9.1450484916201127</v>
      </c>
      <c r="BE6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15.769174525139665</v>
      </c>
      <c r="BF6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26.603777430167597</v>
      </c>
      <c r="BG6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37.813836871508371</v>
      </c>
      <c r="BH6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46.556610502793291</v>
      </c>
      <c r="BI6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48.272983240223461</v>
      </c>
      <c r="BJ6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49.050714636871504</v>
      </c>
      <c r="BK6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42.399770279329609</v>
      </c>
      <c r="BL6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29.768339664804468</v>
      </c>
      <c r="BM6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19.12146502793296</v>
      </c>
      <c r="BN6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8.8500469273743008</v>
      </c>
      <c r="BO6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7.482312402234637</v>
      </c>
      <c r="BP639">
        <f>SUM(Таб[[#This Row],[1]:[12]])</f>
        <v>340.83407999999997</v>
      </c>
    </row>
    <row r="640" spans="2:68" ht="38.25">
      <c r="B640" t="s">
        <v>384</v>
      </c>
      <c r="C640" t="str">
        <f>IFERROR(VLOOKUP(Таб[[#This Row],[Зелений Тариф ЕЦ]],Sheet6!$H$9:$I$29,2,FALSE),"")</f>
        <v>Дах</v>
      </c>
      <c r="G640" s="1" t="s">
        <v>1606</v>
      </c>
      <c r="H640" t="s">
        <v>122</v>
      </c>
      <c r="J640" s="7">
        <v>0.215</v>
      </c>
      <c r="K640" s="8"/>
      <c r="L640" s="8">
        <v>43130</v>
      </c>
      <c r="M640">
        <v>1</v>
      </c>
      <c r="N640" s="49" t="s">
        <v>67</v>
      </c>
      <c r="O640">
        <v>2018</v>
      </c>
      <c r="P640">
        <v>0.16370000000000001</v>
      </c>
      <c r="Q640" s="10"/>
      <c r="R640" s="11">
        <f>ROUND(Таб[[#This Row],[Зелений Тариф ЕЦ]]+Таб[[#This Row],[Зелений Тариф ЕЦ]]*Таб[[#This Row],[% надбавки]],4)</f>
        <v>0.16370000000000001</v>
      </c>
      <c r="S640" s="12"/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1E-3</v>
      </c>
      <c r="AR640">
        <v>0</v>
      </c>
      <c r="AS640">
        <v>8.9999999999999993E-3</v>
      </c>
      <c r="AT640">
        <v>2.1999999999999999E-2</v>
      </c>
      <c r="AU640">
        <v>3.2000000000000001E-2</v>
      </c>
      <c r="AV640">
        <v>3.5000000000000003E-2</v>
      </c>
      <c r="AW640">
        <v>4.1000000000000002E-2</v>
      </c>
      <c r="AX640">
        <v>0.04</v>
      </c>
      <c r="AY640">
        <v>3.5000000000000003E-2</v>
      </c>
      <c r="BD6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6.9231881186560722</v>
      </c>
      <c r="BE6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11.937931418679677</v>
      </c>
      <c r="BF6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20.140183617908569</v>
      </c>
      <c r="BG6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28.626672279486982</v>
      </c>
      <c r="BH6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35.245321331339994</v>
      </c>
      <c r="BI6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36.544688016366351</v>
      </c>
      <c r="BJ6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37.133463545518921</v>
      </c>
      <c r="BK6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32.098417641041785</v>
      </c>
      <c r="BL6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22.535890943425919</v>
      </c>
      <c r="BM6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14.475756975371784</v>
      </c>
      <c r="BN6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6.6998594696671674</v>
      </c>
      <c r="BO6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5.6644266425367853</v>
      </c>
      <c r="BP640">
        <f>SUM(Таб[[#This Row],[1]:[12]])</f>
        <v>258.0258</v>
      </c>
    </row>
    <row r="641" spans="2:68" ht="38.25">
      <c r="B641" t="s">
        <v>384</v>
      </c>
      <c r="C641" t="str">
        <f>IFERROR(VLOOKUP(Таб[[#This Row],[Зелений Тариф ЕЦ]],Sheet6!$H$9:$I$29,2,FALSE),"")</f>
        <v>Дах</v>
      </c>
      <c r="G641" s="1" t="s">
        <v>1608</v>
      </c>
      <c r="H641" t="s">
        <v>263</v>
      </c>
      <c r="J641" s="7">
        <v>0.12</v>
      </c>
      <c r="K641" s="8"/>
      <c r="L641" s="8">
        <v>42831</v>
      </c>
      <c r="M641">
        <v>4</v>
      </c>
      <c r="N641" s="49" t="s">
        <v>57</v>
      </c>
      <c r="O641">
        <v>2017</v>
      </c>
      <c r="P641">
        <v>0.17230000000000001</v>
      </c>
      <c r="Q641" s="10"/>
      <c r="R641" s="11">
        <f>ROUND(Таб[[#This Row],[Зелений Тариф ЕЦ]]+Таб[[#This Row],[Зелений Тариф ЕЦ]]*Таб[[#This Row],[% надбавки]],4)</f>
        <v>0.17230000000000001</v>
      </c>
      <c r="S641" s="12"/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1.2E-2</v>
      </c>
      <c r="AC641">
        <v>5.9999999999999984E-3</v>
      </c>
      <c r="AD641">
        <v>2.0000000000000018E-3</v>
      </c>
      <c r="AE641">
        <v>1.0000000000000009E-3</v>
      </c>
      <c r="AF641">
        <v>1E-3</v>
      </c>
      <c r="AG641">
        <v>5.0000000000000001E-3</v>
      </c>
      <c r="AH641">
        <v>4.0000000000000001E-3</v>
      </c>
      <c r="AI641">
        <v>1.6E-2</v>
      </c>
      <c r="AJ641">
        <v>0.02</v>
      </c>
      <c r="AK641">
        <v>1.7999999999999999E-2</v>
      </c>
      <c r="AL641">
        <v>1.7999999999999999E-2</v>
      </c>
      <c r="AM641">
        <v>1.9E-2</v>
      </c>
      <c r="AN641">
        <v>1.0999999999999999E-2</v>
      </c>
      <c r="AO641">
        <v>8.0000000000000002E-3</v>
      </c>
      <c r="AP641">
        <v>3.0000000000000001E-3</v>
      </c>
      <c r="AQ641">
        <v>0</v>
      </c>
      <c r="AR641">
        <v>0</v>
      </c>
      <c r="AS641">
        <v>3.0000000000000001E-3</v>
      </c>
      <c r="AT641">
        <v>8.9999999999999993E-3</v>
      </c>
      <c r="AU641">
        <v>1.4999999999999999E-2</v>
      </c>
      <c r="AV641">
        <v>1.7000000000000001E-2</v>
      </c>
      <c r="AW641">
        <v>0.02</v>
      </c>
      <c r="AX641">
        <v>1.0999999999999999E-2</v>
      </c>
      <c r="AY641">
        <v>1.4999999999999999E-2</v>
      </c>
      <c r="BD6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3.8641049964592025</v>
      </c>
      <c r="BE6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6.6630314894956326</v>
      </c>
      <c r="BF6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11.241032716972223</v>
      </c>
      <c r="BG6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15.977677551341566</v>
      </c>
      <c r="BH6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19.671807254701392</v>
      </c>
      <c r="BI6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20.397035171925406</v>
      </c>
      <c r="BJ6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20.725654071917539</v>
      </c>
      <c r="BK6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17.915395892674482</v>
      </c>
      <c r="BL6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12.578171689354001</v>
      </c>
      <c r="BM6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8.0794922653237862</v>
      </c>
      <c r="BN6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3.7394564481863251</v>
      </c>
      <c r="BO6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3.1615404516484382</v>
      </c>
      <c r="BP641">
        <f>SUM(Таб[[#This Row],[1]:[12]])</f>
        <v>144.01439999999999</v>
      </c>
    </row>
    <row r="642" spans="2:68" ht="38.25">
      <c r="B642" t="s">
        <v>384</v>
      </c>
      <c r="C642" t="str">
        <f>IFERROR(VLOOKUP(Таб[[#This Row],[Зелений Тариф ЕЦ]],Sheet6!$H$9:$I$29,2,FALSE),"")</f>
        <v>Дах</v>
      </c>
      <c r="G642" s="1" t="s">
        <v>1169</v>
      </c>
      <c r="H642" t="s">
        <v>198</v>
      </c>
      <c r="J642" s="7">
        <v>0.26300000000000001</v>
      </c>
      <c r="K642" s="8"/>
      <c r="L642" s="8">
        <v>43130</v>
      </c>
      <c r="M642">
        <v>1</v>
      </c>
      <c r="N642" s="49" t="s">
        <v>67</v>
      </c>
      <c r="O642">
        <v>2018</v>
      </c>
      <c r="P642">
        <v>0.16370000000000001</v>
      </c>
      <c r="Q642" s="10"/>
      <c r="R642" s="11">
        <f>ROUND(Таб[[#This Row],[Зелений Тариф ЕЦ]]+Таб[[#This Row],[Зелений Тариф ЕЦ]]*Таб[[#This Row],[% надбавки]],4)</f>
        <v>0.16370000000000001</v>
      </c>
      <c r="S642" s="12"/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8.9999999999999993E-3</v>
      </c>
      <c r="AH642">
        <v>1.7000000000000001E-2</v>
      </c>
      <c r="AI642">
        <v>3.6999999999999998E-2</v>
      </c>
      <c r="AJ642">
        <v>4.3999999999999997E-2</v>
      </c>
      <c r="AK642">
        <v>0.04</v>
      </c>
      <c r="AL642">
        <v>3.5999999999999997E-2</v>
      </c>
      <c r="AM642">
        <v>4.2000000000000003E-2</v>
      </c>
      <c r="AN642">
        <v>4.9000000000000002E-2</v>
      </c>
      <c r="AO642">
        <v>4.2000000000000003E-2</v>
      </c>
      <c r="AP642">
        <v>1.7999999999999999E-2</v>
      </c>
      <c r="AQ642">
        <v>2E-3</v>
      </c>
      <c r="AR642">
        <v>0</v>
      </c>
      <c r="AS642">
        <v>1.6E-2</v>
      </c>
      <c r="AT642">
        <v>3.2000000000000001E-2</v>
      </c>
      <c r="AU642">
        <v>4.8000000000000001E-2</v>
      </c>
      <c r="AV642">
        <v>0.05</v>
      </c>
      <c r="AW642">
        <v>6.4000000000000001E-2</v>
      </c>
      <c r="AX642">
        <v>5.8999999999999997E-2</v>
      </c>
      <c r="AY642">
        <v>5.7000000000000002E-2</v>
      </c>
      <c r="BD6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8.4688301172397527</v>
      </c>
      <c r="BE6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14.603144014477932</v>
      </c>
      <c r="BF6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24.63659670469746</v>
      </c>
      <c r="BG6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35.017743300023611</v>
      </c>
      <c r="BH6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43.114044233220554</v>
      </c>
      <c r="BI6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44.70350208513652</v>
      </c>
      <c r="BJ6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45.423725174285934</v>
      </c>
      <c r="BK6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39.264575998111575</v>
      </c>
      <c r="BL6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27.567159619167526</v>
      </c>
      <c r="BM6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17.707553881501298</v>
      </c>
      <c r="BN6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8.1956420489416963</v>
      </c>
      <c r="BO6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6.9290428231961601</v>
      </c>
      <c r="BP642">
        <f>SUM(Таб[[#This Row],[1]:[12]])</f>
        <v>315.63155999999998</v>
      </c>
    </row>
    <row r="643" spans="2:68" ht="38.25">
      <c r="B643" t="s">
        <v>384</v>
      </c>
      <c r="C643" t="str">
        <f>IFERROR(VLOOKUP(Таб[[#This Row],[Зелений Тариф ЕЦ]],Sheet6!$H$9:$I$29,2,FALSE),"")</f>
        <v>Дах</v>
      </c>
      <c r="G643" s="1" t="s">
        <v>1169</v>
      </c>
      <c r="H643" t="s">
        <v>198</v>
      </c>
      <c r="J643" s="7">
        <v>5.8999999999999997E-2</v>
      </c>
      <c r="K643" s="8"/>
      <c r="L643" s="8">
        <v>43333</v>
      </c>
      <c r="M643">
        <v>8</v>
      </c>
      <c r="N643" s="49" t="s">
        <v>60</v>
      </c>
      <c r="O643">
        <v>2018</v>
      </c>
      <c r="P643">
        <v>0.16370000000000001</v>
      </c>
      <c r="Q643" s="10"/>
      <c r="R643" s="11">
        <f>ROUND(Таб[[#This Row],[Зелений Тариф ЕЦ]]+Таб[[#This Row],[Зелений Тариф ЕЦ]]*Таб[[#This Row],[% надбавки]],4)</f>
        <v>0.16370000000000001</v>
      </c>
      <c r="S643" s="12"/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BD6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1.8998516232591078</v>
      </c>
      <c r="BE6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3.2759904823353532</v>
      </c>
      <c r="BF6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5.5268410858446764</v>
      </c>
      <c r="BG6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7.8556914627429375</v>
      </c>
      <c r="BH6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9.6719719002281845</v>
      </c>
      <c r="BI6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10.028542292863325</v>
      </c>
      <c r="BJ6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10.190113252026123</v>
      </c>
      <c r="BK6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8.8084029805649529</v>
      </c>
      <c r="BL6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6.184267747265717</v>
      </c>
      <c r="BM6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3.9724170304508615</v>
      </c>
      <c r="BN6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1.8385660870249432</v>
      </c>
      <c r="BO6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1.5544240553938156</v>
      </c>
      <c r="BP643">
        <f>SUM(Таб[[#This Row],[1]:[12]])</f>
        <v>70.807079999999985</v>
      </c>
    </row>
    <row r="644" spans="2:68" ht="38.25">
      <c r="B644" t="s">
        <v>384</v>
      </c>
      <c r="C644" t="str">
        <f>IFERROR(VLOOKUP(Таб[[#This Row],[Зелений Тариф ЕЦ]],Sheet6!$H$9:$I$29,2,FALSE),"")</f>
        <v>Дах</v>
      </c>
      <c r="G644" s="1" t="s">
        <v>1169</v>
      </c>
      <c r="H644" t="s">
        <v>198</v>
      </c>
      <c r="J644" s="7">
        <v>7.0999999999999994E-2</v>
      </c>
      <c r="K644" s="8"/>
      <c r="L644" s="8">
        <v>43340</v>
      </c>
      <c r="M644">
        <v>8</v>
      </c>
      <c r="N644" s="49" t="s">
        <v>60</v>
      </c>
      <c r="O644">
        <v>2018</v>
      </c>
      <c r="P644">
        <v>0.16370000000000001</v>
      </c>
      <c r="Q644" s="10"/>
      <c r="R644" s="11">
        <f>ROUND(Таб[[#This Row],[Зелений Тариф ЕЦ]]+Таб[[#This Row],[Зелений Тариф ЕЦ]]*Таб[[#This Row],[% надбавки]],4)</f>
        <v>0.16370000000000001</v>
      </c>
      <c r="S644" s="12"/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BD6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2.2862621229050282</v>
      </c>
      <c r="BE6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3.9422936312849162</v>
      </c>
      <c r="BF6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6.6509443575418992</v>
      </c>
      <c r="BG6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9.4534592178770929</v>
      </c>
      <c r="BH6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11.639152625698323</v>
      </c>
      <c r="BI6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12.068245810055865</v>
      </c>
      <c r="BJ6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12.262678659217876</v>
      </c>
      <c r="BK6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10.599942569832402</v>
      </c>
      <c r="BL6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7.4420849162011171</v>
      </c>
      <c r="BM6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4.7803662569832399</v>
      </c>
      <c r="BN6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2.2125117318435752</v>
      </c>
      <c r="BO6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1.8705781005586593</v>
      </c>
      <c r="BP644">
        <f>SUM(Таб[[#This Row],[1]:[12]])</f>
        <v>85.208519999999993</v>
      </c>
    </row>
    <row r="645" spans="2:68" ht="25.5">
      <c r="B645" t="s">
        <v>384</v>
      </c>
      <c r="C645" t="str">
        <f>IFERROR(VLOOKUP(Таб[[#This Row],[Зелений Тариф ЕЦ]],Sheet6!$H$9:$I$29,2,FALSE),"")</f>
        <v>Дах</v>
      </c>
      <c r="G645" s="1" t="s">
        <v>1614</v>
      </c>
      <c r="H645" t="s">
        <v>82</v>
      </c>
      <c r="J645" s="7">
        <v>1.0109999999999999</v>
      </c>
      <c r="K645" s="8"/>
      <c r="L645" s="8">
        <v>43637</v>
      </c>
      <c r="M645">
        <v>6</v>
      </c>
      <c r="N645" s="49" t="s">
        <v>57</v>
      </c>
      <c r="O645">
        <v>2019</v>
      </c>
      <c r="P645">
        <v>0.16370000000000001</v>
      </c>
      <c r="Q645" s="10"/>
      <c r="R645" s="11">
        <f>ROUND(Таб[[#This Row],[Зелений Тариф ЕЦ]]+Таб[[#This Row],[Зелений Тариф ЕЦ]]*Таб[[#This Row],[% надбавки]],4)</f>
        <v>0.16370000000000001</v>
      </c>
      <c r="S645" s="12"/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0.14899999999999999</v>
      </c>
      <c r="BD6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32.555084595168779</v>
      </c>
      <c r="BE6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56.136040299000697</v>
      </c>
      <c r="BF6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94.705700640490974</v>
      </c>
      <c r="BG6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134.6119333700527</v>
      </c>
      <c r="BH6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165.73497612085922</v>
      </c>
      <c r="BI6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171.84502132347154</v>
      </c>
      <c r="BJ6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174.61363555590523</v>
      </c>
      <c r="BK6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150.9372103957825</v>
      </c>
      <c r="BL6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105.97109648280745</v>
      </c>
      <c r="BM6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68.069722335352893</v>
      </c>
      <c r="BN6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31.504920575969791</v>
      </c>
      <c r="BO6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26.635978305138089</v>
      </c>
      <c r="BP645">
        <f>SUM(Таб[[#This Row],[1]:[12]])</f>
        <v>1213.32132</v>
      </c>
    </row>
    <row r="646" spans="2:68" ht="38.25">
      <c r="B646" t="s">
        <v>384</v>
      </c>
      <c r="C646" t="str">
        <f>IFERROR(VLOOKUP(Таб[[#This Row],[Зелений Тариф ЕЦ]],Sheet6!$H$9:$I$29,2,FALSE),"")</f>
        <v>Дах</v>
      </c>
      <c r="G646" s="1" t="s">
        <v>1180</v>
      </c>
      <c r="H646" t="s">
        <v>98</v>
      </c>
      <c r="J646" s="7">
        <v>1.1140000000000001</v>
      </c>
      <c r="K646" s="8"/>
      <c r="L646" s="8">
        <v>42719</v>
      </c>
      <c r="M646">
        <v>12</v>
      </c>
      <c r="N646" s="49" t="s">
        <v>71</v>
      </c>
      <c r="O646">
        <v>2016</v>
      </c>
      <c r="P646">
        <v>0.17230000000000001</v>
      </c>
      <c r="Q646" s="10"/>
      <c r="R646" s="11">
        <f>ROUND(Таб[[#This Row],[Зелений Тариф ЕЦ]]+Таб[[#This Row],[Зелений Тариф ЕЦ]]*Таб[[#This Row],[% надбавки]],4)</f>
        <v>0.17230000000000001</v>
      </c>
      <c r="S646" s="12"/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8.0000000000000002E-3</v>
      </c>
      <c r="AF646">
        <v>0.02</v>
      </c>
      <c r="AG646">
        <v>2E-3</v>
      </c>
      <c r="AH646">
        <v>3.5999999999999997E-2</v>
      </c>
      <c r="AI646">
        <v>0.11700000000000001</v>
      </c>
      <c r="AJ646">
        <v>0.13500000000000001</v>
      </c>
      <c r="AK646">
        <v>0.106</v>
      </c>
      <c r="AL646">
        <v>0.108</v>
      </c>
      <c r="AM646">
        <v>0.122</v>
      </c>
      <c r="AN646">
        <v>9.0999999999999998E-2</v>
      </c>
      <c r="AO646">
        <v>6.9000000000000006E-2</v>
      </c>
      <c r="AP646">
        <v>2.5000000000000001E-2</v>
      </c>
      <c r="AQ646">
        <v>8.9999999999999993E-3</v>
      </c>
      <c r="AR646">
        <v>8.9999999999999993E-3</v>
      </c>
      <c r="AS646">
        <v>4.1000000000000002E-2</v>
      </c>
      <c r="AT646">
        <v>8.2000000000000003E-2</v>
      </c>
      <c r="AU646">
        <v>9.5000000000000001E-2</v>
      </c>
      <c r="AV646">
        <v>7.0999999999999994E-2</v>
      </c>
      <c r="AW646">
        <v>0.13300000000000001</v>
      </c>
      <c r="AX646">
        <v>0.13100000000000001</v>
      </c>
      <c r="AY646">
        <v>0.13200000000000001</v>
      </c>
      <c r="BD6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35.871774717129604</v>
      </c>
      <c r="BE6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61.855142327484472</v>
      </c>
      <c r="BF6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104.35425372255882</v>
      </c>
      <c r="BG6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148.32610660162089</v>
      </c>
      <c r="BH6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182.61994401447794</v>
      </c>
      <c r="BI6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189.35247651270757</v>
      </c>
      <c r="BJ6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192.4031553009678</v>
      </c>
      <c r="BK6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166.31459187032814</v>
      </c>
      <c r="BL6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116.76736051616967</v>
      </c>
      <c r="BM6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75.004619863089147</v>
      </c>
      <c r="BN6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34.714620693996395</v>
      </c>
      <c r="BO6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29.349633859469673</v>
      </c>
      <c r="BP646">
        <f>SUM(Таб[[#This Row],[1]:[12]])</f>
        <v>1336.9336800000001</v>
      </c>
    </row>
    <row r="647" spans="2:68" ht="38.25">
      <c r="B647" t="s">
        <v>384</v>
      </c>
      <c r="C647" t="str">
        <f>IFERROR(VLOOKUP(Таб[[#This Row],[Зелений Тариф ЕЦ]],Sheet6!$H$9:$I$29,2,FALSE),"")</f>
        <v>Дах</v>
      </c>
      <c r="G647" s="1" t="s">
        <v>1619</v>
      </c>
      <c r="H647" t="s">
        <v>65</v>
      </c>
      <c r="J647" s="7">
        <v>4.1500000000000002E-2</v>
      </c>
      <c r="K647" s="8"/>
      <c r="L647" s="8">
        <v>42922</v>
      </c>
      <c r="M647">
        <v>7</v>
      </c>
      <c r="N647" s="49" t="s">
        <v>60</v>
      </c>
      <c r="O647">
        <v>2017</v>
      </c>
      <c r="P647">
        <v>0.16370000000000001</v>
      </c>
      <c r="Q647" s="10"/>
      <c r="R647" s="11">
        <f>ROUND(Таб[[#This Row],[Зелений Тариф ЕЦ]]+Таб[[#This Row],[Зелений Тариф ЕЦ]]*Таб[[#This Row],[% надбавки]],4)</f>
        <v>0.16370000000000001</v>
      </c>
      <c r="S647" s="12"/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3.7999999999999999E-2</v>
      </c>
      <c r="AC647">
        <v>5.9999999999999984E-3</v>
      </c>
      <c r="AD647">
        <v>2.0000000000000018E-3</v>
      </c>
      <c r="AE647">
        <v>2.0000000000000018E-3</v>
      </c>
      <c r="AF647">
        <v>2E-3</v>
      </c>
      <c r="AG647">
        <v>2E-3</v>
      </c>
      <c r="AH647">
        <v>4.0000000000000001E-3</v>
      </c>
      <c r="AI647">
        <v>1.0999999999999999E-2</v>
      </c>
      <c r="AJ647">
        <v>1.2E-2</v>
      </c>
      <c r="AK647">
        <v>0.01</v>
      </c>
      <c r="AL647">
        <v>1.0999999999999999E-2</v>
      </c>
      <c r="AM647">
        <v>1.0999999999999999E-2</v>
      </c>
      <c r="AN647">
        <v>8.9999999999999993E-3</v>
      </c>
      <c r="AO647">
        <v>6.0000000000000001E-3</v>
      </c>
      <c r="AP647">
        <v>2E-3</v>
      </c>
      <c r="AQ647">
        <v>1E-3</v>
      </c>
      <c r="AR647">
        <v>1E-3</v>
      </c>
      <c r="AS647">
        <v>4.0000000000000001E-3</v>
      </c>
      <c r="AT647">
        <v>7.0000000000000001E-3</v>
      </c>
      <c r="AU647">
        <v>8.9999999999999993E-3</v>
      </c>
      <c r="AV647">
        <v>8.9999999999999993E-3</v>
      </c>
      <c r="AW647">
        <v>1.0999999999999999E-2</v>
      </c>
      <c r="AX647">
        <v>7.0000000000000001E-3</v>
      </c>
      <c r="AY647">
        <v>1.0999999999999999E-2</v>
      </c>
      <c r="BD6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1.3363363112754743</v>
      </c>
      <c r="BE6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2.30429839011724</v>
      </c>
      <c r="BF6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3.887523814619561</v>
      </c>
      <c r="BG6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5.5256134865056259</v>
      </c>
      <c r="BH6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6.803166675584233</v>
      </c>
      <c r="BI6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7.0539746636242038</v>
      </c>
      <c r="BJ6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7.1676220332048164</v>
      </c>
      <c r="BK6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6.1957410795499248</v>
      </c>
      <c r="BL6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4.349951042568259</v>
      </c>
      <c r="BM6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2.7941577417578096</v>
      </c>
      <c r="BN6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1.2932286883311042</v>
      </c>
      <c r="BO6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1.0933660728617516</v>
      </c>
      <c r="BP647">
        <f>SUM(Таб[[#This Row],[1]:[12]])</f>
        <v>49.804979999999993</v>
      </c>
    </row>
    <row r="648" spans="2:68" ht="38.25">
      <c r="B648" t="s">
        <v>384</v>
      </c>
      <c r="C648" t="str">
        <f>IFERROR(VLOOKUP(Таб[[#This Row],[Зелений Тариф ЕЦ]],Sheet6!$H$9:$I$29,2,FALSE),"")</f>
        <v>Дах</v>
      </c>
      <c r="G648" s="1" t="s">
        <v>1619</v>
      </c>
      <c r="H648" t="s">
        <v>65</v>
      </c>
      <c r="J648" s="7">
        <v>4.1500000000000002E-2</v>
      </c>
      <c r="K648" s="8"/>
      <c r="L648" s="8">
        <v>42922</v>
      </c>
      <c r="M648">
        <v>7</v>
      </c>
      <c r="N648" s="49" t="s">
        <v>60</v>
      </c>
      <c r="O648">
        <v>2017</v>
      </c>
      <c r="P648">
        <v>0.16370000000000001</v>
      </c>
      <c r="Q648" s="10"/>
      <c r="R648" s="11">
        <f>ROUND(Таб[[#This Row],[Зелений Тариф ЕЦ]]+Таб[[#This Row],[Зелений Тариф ЕЦ]]*Таб[[#This Row],[% надбавки]],4)</f>
        <v>0.16370000000000001</v>
      </c>
      <c r="S648" s="12"/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1.504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BD6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1.3363363112754743</v>
      </c>
      <c r="BE6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2.30429839011724</v>
      </c>
      <c r="BF6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3.887523814619561</v>
      </c>
      <c r="BG6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5.5256134865056259</v>
      </c>
      <c r="BH6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6.803166675584233</v>
      </c>
      <c r="BI6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7.0539746636242038</v>
      </c>
      <c r="BJ6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7.1676220332048164</v>
      </c>
      <c r="BK6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6.1957410795499248</v>
      </c>
      <c r="BL6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4.349951042568259</v>
      </c>
      <c r="BM6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2.7941577417578096</v>
      </c>
      <c r="BN6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1.2932286883311042</v>
      </c>
      <c r="BO6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1.0933660728617516</v>
      </c>
      <c r="BP648">
        <f>SUM(Таб[[#This Row],[1]:[12]])</f>
        <v>49.804979999999993</v>
      </c>
    </row>
    <row r="649" spans="2:68" ht="51">
      <c r="B649" t="s">
        <v>384</v>
      </c>
      <c r="C649" t="str">
        <f>IFERROR(VLOOKUP(Таб[[#This Row],[Зелений Тариф ЕЦ]],Sheet6!$H$9:$I$29,2,FALSE),"")</f>
        <v>Дах</v>
      </c>
      <c r="G649" s="1" t="s">
        <v>1622</v>
      </c>
      <c r="H649" t="s">
        <v>198</v>
      </c>
      <c r="J649" s="7">
        <v>2.1999999999999999E-2</v>
      </c>
      <c r="K649" s="8"/>
      <c r="L649" s="8">
        <v>42418</v>
      </c>
      <c r="M649">
        <v>2</v>
      </c>
      <c r="N649" s="49" t="s">
        <v>67</v>
      </c>
      <c r="O649">
        <v>2016</v>
      </c>
      <c r="P649">
        <v>0.1804</v>
      </c>
      <c r="Q649" s="10"/>
      <c r="R649" s="11">
        <f>ROUND(Таб[[#This Row],[Зелений Тариф ЕЦ]]+Таб[[#This Row],[Зелений Тариф ЕЦ]]*Таб[[#This Row],[% надбавки]],4)</f>
        <v>0.1804</v>
      </c>
      <c r="S649" s="12"/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BD6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0.70841924935085376</v>
      </c>
      <c r="BE6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1.2215557730741993</v>
      </c>
      <c r="BF6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2.0608559981115744</v>
      </c>
      <c r="BG6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2.9292408844126205</v>
      </c>
      <c r="BH6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3.6064979966952553</v>
      </c>
      <c r="BI6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3.7394564481863242</v>
      </c>
      <c r="BJ6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3.7997032465182148</v>
      </c>
      <c r="BK6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3.2844892469903222</v>
      </c>
      <c r="BL6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2.3059981430482339</v>
      </c>
      <c r="BM6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1.4812402486426939</v>
      </c>
      <c r="BN6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0.68556701550082622</v>
      </c>
      <c r="BO6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0.57961574946888028</v>
      </c>
      <c r="BP649">
        <f>SUM(Таб[[#This Row],[1]:[12]])</f>
        <v>26.402640000000005</v>
      </c>
    </row>
    <row r="650" spans="2:68" ht="63.75">
      <c r="B650" t="s">
        <v>384</v>
      </c>
      <c r="C650" t="str">
        <f>IFERROR(VLOOKUP(Таб[[#This Row],[Зелений Тариф ЕЦ]],Sheet6!$H$9:$I$29,2,FALSE),"")</f>
        <v>Дах</v>
      </c>
      <c r="G650" s="1" t="s">
        <v>1217</v>
      </c>
      <c r="H650" t="s">
        <v>107</v>
      </c>
      <c r="J650" s="7">
        <v>0.499</v>
      </c>
      <c r="K650" s="8"/>
      <c r="L650" s="8">
        <v>42712</v>
      </c>
      <c r="M650">
        <v>12</v>
      </c>
      <c r="N650" s="49" t="s">
        <v>71</v>
      </c>
      <c r="O650">
        <v>2016</v>
      </c>
      <c r="P650">
        <v>0.17230000000000001</v>
      </c>
      <c r="Q650" s="10"/>
      <c r="R650" s="11">
        <f>ROUND(Таб[[#This Row],[Зелений Тариф ЕЦ]]+Таб[[#This Row],[Зелений Тариф ЕЦ]]*Таб[[#This Row],[% надбавки]],4)</f>
        <v>0.17230000000000001</v>
      </c>
      <c r="S650" s="12"/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6.4000000000000001E-2</v>
      </c>
      <c r="AB650">
        <v>4.9000000000000002E-2</v>
      </c>
      <c r="AC650">
        <v>1.6E-2</v>
      </c>
      <c r="AD650">
        <v>7.0000000000000062E-3</v>
      </c>
      <c r="AE650">
        <v>3.0000000000000027E-3</v>
      </c>
      <c r="AF650">
        <v>2E-3</v>
      </c>
      <c r="AG650">
        <v>1.2999999999999999E-2</v>
      </c>
      <c r="AH650">
        <v>2.5999999999999999E-2</v>
      </c>
      <c r="AI650">
        <v>6.6000000000000003E-2</v>
      </c>
      <c r="AJ650">
        <v>7.6999999999999999E-2</v>
      </c>
      <c r="AK650">
        <v>7.0000000000000007E-2</v>
      </c>
      <c r="AL650">
        <v>6.4000000000000001E-2</v>
      </c>
      <c r="AM650">
        <v>7.9000000000000001E-2</v>
      </c>
      <c r="AN650">
        <v>5.0999999999999997E-2</v>
      </c>
      <c r="AO650">
        <v>3.9E-2</v>
      </c>
      <c r="AP650">
        <v>8.9999999999999993E-3</v>
      </c>
      <c r="AQ650">
        <v>0</v>
      </c>
      <c r="AR650">
        <v>1E-3</v>
      </c>
      <c r="AS650">
        <v>1.7999999999999999E-2</v>
      </c>
      <c r="AT650">
        <v>4.4999999999999998E-2</v>
      </c>
      <c r="AU650">
        <v>5.7000000000000002E-2</v>
      </c>
      <c r="AV650">
        <v>6.8000000000000005E-2</v>
      </c>
      <c r="AW650">
        <v>0.08</v>
      </c>
      <c r="AX650">
        <v>7.0999999999999994E-2</v>
      </c>
      <c r="AY650">
        <v>6.0999999999999999E-2</v>
      </c>
      <c r="BD6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16.068236610276184</v>
      </c>
      <c r="BE6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27.707105943819343</v>
      </c>
      <c r="BF6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46.743961048076166</v>
      </c>
      <c r="BG6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66.440509150995354</v>
      </c>
      <c r="BH6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81.801931834133285</v>
      </c>
      <c r="BI6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84.817671256589819</v>
      </c>
      <c r="BJ6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86.184178182390426</v>
      </c>
      <c r="BK6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74.498187920371393</v>
      </c>
      <c r="BL6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52.304230608230398</v>
      </c>
      <c r="BM6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33.597222003304744</v>
      </c>
      <c r="BN6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15.54990639704147</v>
      </c>
      <c r="BO6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13.146739044771422</v>
      </c>
      <c r="BP650">
        <f>SUM(Таб[[#This Row],[1]:[12]])</f>
        <v>598.85987999999998</v>
      </c>
    </row>
    <row r="651" spans="2:68" ht="51">
      <c r="B651" t="s">
        <v>384</v>
      </c>
      <c r="C651" t="str">
        <f>IFERROR(VLOOKUP(Таб[[#This Row],[Зелений Тариф ЕЦ]],Sheet6!$H$9:$I$29,2,FALSE),"")</f>
        <v>Дах</v>
      </c>
      <c r="G651" s="1" t="s">
        <v>1625</v>
      </c>
      <c r="H651" t="s">
        <v>107</v>
      </c>
      <c r="J651" s="7">
        <v>1.054</v>
      </c>
      <c r="K651" s="8"/>
      <c r="L651" s="8">
        <v>43613</v>
      </c>
      <c r="M651">
        <v>5</v>
      </c>
      <c r="N651" s="49" t="s">
        <v>57</v>
      </c>
      <c r="O651">
        <v>2019</v>
      </c>
      <c r="P651">
        <v>0.16370000000000001</v>
      </c>
      <c r="Q651" s="10"/>
      <c r="R651" s="11">
        <f>ROUND(Таб[[#This Row],[Зелений Тариф ЕЦ]]+Таб[[#This Row],[Зелений Тариф ЕЦ]]*Таб[[#This Row],[% надбавки]],4)</f>
        <v>0.16370000000000001</v>
      </c>
      <c r="S651" s="12"/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0.10100000000000001</v>
      </c>
      <c r="AY651">
        <v>0.13200000000000001</v>
      </c>
      <c r="BD6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33.939722218900002</v>
      </c>
      <c r="BE6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58.523626582736647</v>
      </c>
      <c r="BF6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98.733737364072709</v>
      </c>
      <c r="BG6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140.33726782595011</v>
      </c>
      <c r="BH6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172.78404038712722</v>
      </c>
      <c r="BI6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179.15395892674485</v>
      </c>
      <c r="BJ6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182.04032826500907</v>
      </c>
      <c r="BK6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157.3568939239909</v>
      </c>
      <c r="BL6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110.47827467149266</v>
      </c>
      <c r="BM6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70.964873730427257</v>
      </c>
      <c r="BN6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32.844892469903222</v>
      </c>
      <c r="BO6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27.768863633645452</v>
      </c>
      <c r="BP651">
        <f>SUM(Таб[[#This Row],[1]:[12]])</f>
        <v>1264.9264800000003</v>
      </c>
    </row>
    <row r="652" spans="2:68" ht="63.75">
      <c r="B652" t="s">
        <v>384</v>
      </c>
      <c r="C652" t="str">
        <f>IFERROR(VLOOKUP(Таб[[#This Row],[Зелений Тариф ЕЦ]],Sheet6!$H$9:$I$29,2,FALSE),"")</f>
        <v>Дах</v>
      </c>
      <c r="G652" s="1" t="s">
        <v>1234</v>
      </c>
      <c r="H652" t="s">
        <v>122</v>
      </c>
      <c r="J652" s="7">
        <v>0.34799999999999998</v>
      </c>
      <c r="K652" s="8"/>
      <c r="L652" s="8">
        <v>43616</v>
      </c>
      <c r="M652">
        <v>5</v>
      </c>
      <c r="N652" s="49" t="s">
        <v>57</v>
      </c>
      <c r="O652">
        <v>2019</v>
      </c>
      <c r="P652">
        <v>0.16370000000000001</v>
      </c>
      <c r="Q652" s="10"/>
      <c r="R652" s="11">
        <f>ROUND(Таб[[#This Row],[Зелений Тариф ЕЦ]]+Таб[[#This Row],[Зелений Тариф ЕЦ]]*Таб[[#This Row],[% надбавки]],4)</f>
        <v>0.16370000000000001</v>
      </c>
      <c r="S652" s="12"/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BD6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11.205904489731687</v>
      </c>
      <c r="BE6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19.322791319537334</v>
      </c>
      <c r="BF6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32.598994879219447</v>
      </c>
      <c r="BG6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46.335264898890543</v>
      </c>
      <c r="BH6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57.048241038634039</v>
      </c>
      <c r="BI6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59.151401998583687</v>
      </c>
      <c r="BJ6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60.104396808560857</v>
      </c>
      <c r="BK6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51.954648088756002</v>
      </c>
      <c r="BL6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36.476697899126606</v>
      </c>
      <c r="BM6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23.430527569438976</v>
      </c>
      <c r="BN6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10.844423699740341</v>
      </c>
      <c r="BO6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9.1684673097804712</v>
      </c>
      <c r="BP652">
        <f>SUM(Таб[[#This Row],[1]:[12]])</f>
        <v>417.64176000000003</v>
      </c>
    </row>
    <row r="653" spans="2:68" ht="63.75">
      <c r="B653" t="s">
        <v>384</v>
      </c>
      <c r="C653" t="str">
        <f>IFERROR(VLOOKUP(Таб[[#This Row],[Зелений Тариф ЕЦ]],Sheet6!$H$9:$I$29,2,FALSE),"")</f>
        <v>Дах</v>
      </c>
      <c r="G653" s="1" t="s">
        <v>1234</v>
      </c>
      <c r="H653" t="s">
        <v>69</v>
      </c>
      <c r="J653" s="7">
        <v>0.45300000000000001</v>
      </c>
      <c r="K653" s="8"/>
      <c r="L653" s="8">
        <v>43616</v>
      </c>
      <c r="M653">
        <v>5</v>
      </c>
      <c r="N653" s="49" t="s">
        <v>57</v>
      </c>
      <c r="O653">
        <v>2019</v>
      </c>
      <c r="P653">
        <v>0.16370000000000001</v>
      </c>
      <c r="Q653" s="10"/>
      <c r="R653" s="11">
        <f>ROUND(Таб[[#This Row],[Зелений Тариф ЕЦ]]+Таб[[#This Row],[Зелений Тариф ЕЦ]]*Таб[[#This Row],[% надбавки]],4)</f>
        <v>0.16370000000000001</v>
      </c>
      <c r="S653" s="12"/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BD6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14.586996361633489</v>
      </c>
      <c r="BE6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25.152943872846016</v>
      </c>
      <c r="BF6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42.43489850657015</v>
      </c>
      <c r="BG6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60.315732756314432</v>
      </c>
      <c r="BH6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74.261072386497759</v>
      </c>
      <c r="BI6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76.998807774018417</v>
      </c>
      <c r="BJ6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78.239344121488713</v>
      </c>
      <c r="BK6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67.630619494846172</v>
      </c>
      <c r="BL6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47.482598127311363</v>
      </c>
      <c r="BM6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30.500083301597286</v>
      </c>
      <c r="BN6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14.116448091903379</v>
      </c>
      <c r="BO6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11.934815204972857</v>
      </c>
      <c r="BP653">
        <f>SUM(Таб[[#This Row],[1]:[12]])</f>
        <v>543.65436000000011</v>
      </c>
    </row>
    <row r="654" spans="2:68" ht="38.25">
      <c r="B654" t="s">
        <v>384</v>
      </c>
      <c r="C654" t="str">
        <f>IFERROR(VLOOKUP(Таб[[#This Row],[Зелений Тариф ЕЦ]],Sheet6!$H$9:$I$29,2,FALSE),"")</f>
        <v>Дах</v>
      </c>
      <c r="G654" s="1" t="s">
        <v>1632</v>
      </c>
      <c r="H654" t="s">
        <v>107</v>
      </c>
      <c r="J654" s="7">
        <v>0.32900000000000001</v>
      </c>
      <c r="K654" s="8"/>
      <c r="L654" s="8">
        <v>43613</v>
      </c>
      <c r="M654">
        <v>5</v>
      </c>
      <c r="N654" s="49" t="s">
        <v>57</v>
      </c>
      <c r="O654">
        <v>2019</v>
      </c>
      <c r="P654">
        <v>0.16370000000000001</v>
      </c>
      <c r="Q654" s="10"/>
      <c r="R654" s="11">
        <f>ROUND(Таб[[#This Row],[Зелений Тариф ЕЦ]]+Таб[[#This Row],[Зелений Тариф ЕЦ]]*Таб[[#This Row],[% надбавки]],4)</f>
        <v>0.16370000000000001</v>
      </c>
      <c r="S654" s="12"/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BD6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10.594087865292314</v>
      </c>
      <c r="BE6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18.267811333700529</v>
      </c>
      <c r="BF6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30.819164699032182</v>
      </c>
      <c r="BG6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43.805465953261468</v>
      </c>
      <c r="BH6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53.933538223306321</v>
      </c>
      <c r="BI6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55.9218714296955</v>
      </c>
      <c r="BJ6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56.822834913840587</v>
      </c>
      <c r="BK6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49.118043739082545</v>
      </c>
      <c r="BL6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34.485154048312225</v>
      </c>
      <c r="BM6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22.15127462742938</v>
      </c>
      <c r="BN6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10.252343095444175</v>
      </c>
      <c r="BO6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8.6678900716028018</v>
      </c>
      <c r="BP654">
        <f>SUM(Таб[[#This Row],[1]:[12]])</f>
        <v>394.83948000000004</v>
      </c>
    </row>
    <row r="655" spans="2:68" ht="38.25">
      <c r="B655" t="s">
        <v>384</v>
      </c>
      <c r="C655" t="str">
        <f>IFERROR(VLOOKUP(Таб[[#This Row],[Зелений Тариф ЕЦ]],Sheet6!$H$9:$I$29,2,FALSE),"")</f>
        <v>Дах</v>
      </c>
      <c r="G655" s="1" t="s">
        <v>1634</v>
      </c>
      <c r="H655" t="s">
        <v>82</v>
      </c>
      <c r="J655" s="7">
        <v>5.1999999999999998E-2</v>
      </c>
      <c r="K655" s="8"/>
      <c r="L655" s="8">
        <v>42649</v>
      </c>
      <c r="M655">
        <v>10</v>
      </c>
      <c r="N655" s="49" t="s">
        <v>71</v>
      </c>
      <c r="O655">
        <v>2016</v>
      </c>
      <c r="P655">
        <v>0.17230000000000001</v>
      </c>
      <c r="Q655" s="10"/>
      <c r="R655" s="11">
        <f>ROUND(Таб[[#This Row],[Зелений Тариф ЕЦ]]+Таб[[#This Row],[Зелений Тариф ЕЦ]]*Таб[[#This Row],[% надбавки]],4)</f>
        <v>0.17230000000000001</v>
      </c>
      <c r="S655" s="12"/>
      <c r="T655">
        <v>0</v>
      </c>
      <c r="U655">
        <v>0</v>
      </c>
      <c r="V655">
        <v>0</v>
      </c>
      <c r="W655">
        <v>0</v>
      </c>
      <c r="X655">
        <v>0</v>
      </c>
      <c r="Y655">
        <v>8.0000000000000002E-3</v>
      </c>
      <c r="Z655">
        <v>8.0000000000000002E-3</v>
      </c>
      <c r="AA655">
        <v>6.9999999999999993E-3</v>
      </c>
      <c r="AB655">
        <v>6.0000000000000019E-3</v>
      </c>
      <c r="AC655">
        <v>2.9999999999999992E-3</v>
      </c>
      <c r="AD655">
        <v>1.0000000000000009E-3</v>
      </c>
      <c r="AE655">
        <v>1.0000000000000009E-3</v>
      </c>
      <c r="AF655">
        <v>1E-3</v>
      </c>
      <c r="AG655">
        <v>2E-3</v>
      </c>
      <c r="AH655">
        <v>3.0000000000000001E-3</v>
      </c>
      <c r="AI655">
        <v>7.0000000000000001E-3</v>
      </c>
      <c r="AJ655">
        <v>8.9999999999999993E-3</v>
      </c>
      <c r="AK655">
        <v>8.0000000000000002E-3</v>
      </c>
      <c r="AL655">
        <v>8.0000000000000002E-3</v>
      </c>
      <c r="AM655">
        <v>8.9999999999999993E-3</v>
      </c>
      <c r="AN655">
        <v>5.0000000000000001E-3</v>
      </c>
      <c r="AO655">
        <v>5.0000000000000001E-3</v>
      </c>
      <c r="AP655">
        <v>2E-3</v>
      </c>
      <c r="AQ655">
        <v>1E-3</v>
      </c>
      <c r="AR655">
        <v>1E-3</v>
      </c>
      <c r="AS655">
        <v>2E-3</v>
      </c>
      <c r="AT655">
        <v>6.0000000000000001E-3</v>
      </c>
      <c r="AU655">
        <v>7.0000000000000001E-3</v>
      </c>
      <c r="AV655">
        <v>7.0000000000000001E-3</v>
      </c>
      <c r="AW655">
        <v>8.0000000000000002E-3</v>
      </c>
      <c r="AX655">
        <v>8.0000000000000002E-3</v>
      </c>
      <c r="AY655">
        <v>8.0000000000000002E-3</v>
      </c>
      <c r="BD6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1.6744454984656545</v>
      </c>
      <c r="BE6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2.8873136454481076</v>
      </c>
      <c r="BF6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4.8711141773546309</v>
      </c>
      <c r="BG6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6.9236602722480134</v>
      </c>
      <c r="BH6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8.5244498103706015</v>
      </c>
      <c r="BI6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8.8387152411676766</v>
      </c>
      <c r="BJ6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8.9811167644975995</v>
      </c>
      <c r="BK6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7.7633382201589427</v>
      </c>
      <c r="BL6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5.4505410653867337</v>
      </c>
      <c r="BM6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3.5011133149736398</v>
      </c>
      <c r="BN6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1.6204311275474073</v>
      </c>
      <c r="BO6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1.3700008623809898</v>
      </c>
      <c r="BP655">
        <f>SUM(Таб[[#This Row],[1]:[12]])</f>
        <v>62.406239999999997</v>
      </c>
    </row>
    <row r="656" spans="2:68" ht="38.25">
      <c r="B656" t="s">
        <v>384</v>
      </c>
      <c r="C656" t="str">
        <f>IFERROR(VLOOKUP(Таб[[#This Row],[Зелений Тариф ЕЦ]],Sheet6!$H$9:$I$29,2,FALSE),"")</f>
        <v>Дах</v>
      </c>
      <c r="G656" s="1" t="s">
        <v>1256</v>
      </c>
      <c r="H656" t="s">
        <v>1257</v>
      </c>
      <c r="J656" s="7">
        <v>0.52300000000000002</v>
      </c>
      <c r="K656" s="8"/>
      <c r="L656" s="8">
        <v>43277</v>
      </c>
      <c r="M656">
        <v>6</v>
      </c>
      <c r="N656" s="49" t="s">
        <v>57</v>
      </c>
      <c r="O656">
        <v>2018</v>
      </c>
      <c r="P656">
        <v>0.16370000000000001</v>
      </c>
      <c r="Q656" s="10"/>
      <c r="R656" s="11">
        <f>ROUND(Таб[[#This Row],[Зелений Тариф ЕЦ]]+Таб[[#This Row],[Зелений Тариф ЕЦ]]*Таб[[#This Row],[% надбавки]],4)</f>
        <v>0.16370000000000001</v>
      </c>
      <c r="S656" s="12"/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0.309</v>
      </c>
      <c r="AN656">
        <v>0.105</v>
      </c>
      <c r="AO656">
        <v>0.106</v>
      </c>
      <c r="AP656">
        <v>2.5999999999999999E-2</v>
      </c>
      <c r="AQ656">
        <v>8.0000000000000002E-3</v>
      </c>
      <c r="AR656">
        <v>1.7999999999999999E-2</v>
      </c>
      <c r="AS656">
        <v>7.9000000000000001E-2</v>
      </c>
      <c r="AT656">
        <v>4.5999999999999985E-2</v>
      </c>
      <c r="AU656">
        <v>0.18999999999999997</v>
      </c>
      <c r="AV656">
        <v>0.13100000000000001</v>
      </c>
      <c r="AW656">
        <v>0.19500000000000001</v>
      </c>
      <c r="AX656">
        <v>0.187</v>
      </c>
      <c r="AY656">
        <v>0.17799999999999999</v>
      </c>
      <c r="BD6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16.841057609568026</v>
      </c>
      <c r="BE6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29.039712241718469</v>
      </c>
      <c r="BF6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48.992167591470604</v>
      </c>
      <c r="BG6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69.636044661263668</v>
      </c>
      <c r="BH6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85.736293285073572</v>
      </c>
      <c r="BI6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88.897078290974918</v>
      </c>
      <c r="BJ6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90.329308996773932</v>
      </c>
      <c r="BK6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78.081267098906295</v>
      </c>
      <c r="BL6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54.819864946101205</v>
      </c>
      <c r="BM6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35.213120456369502</v>
      </c>
      <c r="BN6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16.297797686678734</v>
      </c>
      <c r="BO6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13.779047135101109</v>
      </c>
      <c r="BP656">
        <f>SUM(Таб[[#This Row],[1]:[12]])</f>
        <v>627.66276000000016</v>
      </c>
    </row>
    <row r="657" spans="2:68" ht="38.25">
      <c r="B657" t="s">
        <v>384</v>
      </c>
      <c r="C657" t="str">
        <f>IFERROR(VLOOKUP(Таб[[#This Row],[Зелений Тариф ЕЦ]],Sheet6!$H$9:$I$29,2,FALSE),"")</f>
        <v>Дах</v>
      </c>
      <c r="G657" s="1" t="s">
        <v>1256</v>
      </c>
      <c r="H657" t="s">
        <v>1257</v>
      </c>
      <c r="J657" s="7">
        <v>0.66300000000000003</v>
      </c>
      <c r="K657" s="8"/>
      <c r="L657" s="8">
        <v>43300</v>
      </c>
      <c r="M657">
        <v>7</v>
      </c>
      <c r="N657" s="49" t="s">
        <v>60</v>
      </c>
      <c r="O657">
        <v>2018</v>
      </c>
      <c r="P657">
        <v>0.16370000000000001</v>
      </c>
      <c r="Q657" s="10"/>
      <c r="R657" s="11">
        <f>ROUND(Таб[[#This Row],[Зелений Тариф ЕЦ]]+Таб[[#This Row],[Зелений Тариф ЕЦ]]*Таб[[#This Row],[% надбавки]],4)</f>
        <v>0.16370000000000001</v>
      </c>
      <c r="S657" s="12"/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BD6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21.349180105437096</v>
      </c>
      <c r="BE6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36.813248979463374</v>
      </c>
      <c r="BF6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62.106705761271542</v>
      </c>
      <c r="BG6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88.276668471162168</v>
      </c>
      <c r="BH6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108.6867350822252</v>
      </c>
      <c r="BI6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112.69361932488788</v>
      </c>
      <c r="BJ6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114.5092387473444</v>
      </c>
      <c r="BK6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98.982562307026512</v>
      </c>
      <c r="BL6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69.494398583680862</v>
      </c>
      <c r="BM6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44.639194765913921</v>
      </c>
      <c r="BN6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20.660496876229445</v>
      </c>
      <c r="BO6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17.467510995357625</v>
      </c>
      <c r="BP657">
        <f>SUM(Таб[[#This Row],[1]:[12]])</f>
        <v>795.67955999999992</v>
      </c>
    </row>
    <row r="658" spans="2:68" ht="38.25">
      <c r="B658" t="s">
        <v>384</v>
      </c>
      <c r="C658" t="str">
        <f>IFERROR(VLOOKUP(Таб[[#This Row],[Зелений Тариф ЕЦ]],Sheet6!$H$9:$I$29,2,FALSE),"")</f>
        <v>Дах</v>
      </c>
      <c r="G658" s="1" t="s">
        <v>1638</v>
      </c>
      <c r="H658" t="s">
        <v>65</v>
      </c>
      <c r="J658" s="7">
        <v>0.46500000000000002</v>
      </c>
      <c r="K658" s="8"/>
      <c r="L658" s="8">
        <v>43111</v>
      </c>
      <c r="M658">
        <v>1</v>
      </c>
      <c r="N658" s="49" t="s">
        <v>67</v>
      </c>
      <c r="O658">
        <v>2018</v>
      </c>
      <c r="P658">
        <v>0.16370000000000001</v>
      </c>
      <c r="Q658" s="10"/>
      <c r="R658" s="11">
        <f>ROUND(Таб[[#This Row],[Зелений Тариф ЕЦ]]+Таб[[#This Row],[Зелений Тариф ЕЦ]]*Таб[[#This Row],[% надбавки]],4)</f>
        <v>0.16370000000000001</v>
      </c>
      <c r="S658" s="12"/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8.0000000000000002E-3</v>
      </c>
      <c r="AG658">
        <v>2E-3</v>
      </c>
      <c r="AH658">
        <v>1.7000000000000001E-2</v>
      </c>
      <c r="AI658">
        <v>6.4000000000000001E-2</v>
      </c>
      <c r="AJ658">
        <v>7.0999999999999994E-2</v>
      </c>
      <c r="AK658">
        <v>5.8000000000000003E-2</v>
      </c>
      <c r="AL658">
        <v>6.0999999999999999E-2</v>
      </c>
      <c r="AM658">
        <v>6.7000000000000004E-2</v>
      </c>
      <c r="AN658">
        <v>5.0999999999999997E-2</v>
      </c>
      <c r="AO658">
        <v>3.6999999999999998E-2</v>
      </c>
      <c r="AP658">
        <v>8.9999999999999993E-3</v>
      </c>
      <c r="AQ658">
        <v>2E-3</v>
      </c>
      <c r="AR658">
        <v>3.0000000000000001E-3</v>
      </c>
      <c r="AS658">
        <v>0.02</v>
      </c>
      <c r="AT658">
        <v>4.2999999999999997E-2</v>
      </c>
      <c r="AU658">
        <v>5.0999999999999997E-2</v>
      </c>
      <c r="AV658">
        <v>5.3999999999999999E-2</v>
      </c>
      <c r="AW658">
        <v>7.2999999999999995E-2</v>
      </c>
      <c r="AX658">
        <v>7.0000000000000007E-2</v>
      </c>
      <c r="AY658">
        <v>6.4000000000000001E-2</v>
      </c>
      <c r="BD6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14.973406861279413</v>
      </c>
      <c r="BE6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25.819247021795579</v>
      </c>
      <c r="BF6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43.559001778267373</v>
      </c>
      <c r="BG6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61.913500511448589</v>
      </c>
      <c r="BH6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76.228253111967888</v>
      </c>
      <c r="BI6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79.038511291210966</v>
      </c>
      <c r="BJ6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80.311909528680474</v>
      </c>
      <c r="BK6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69.422159084113616</v>
      </c>
      <c r="BL6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48.740415296246766</v>
      </c>
      <c r="BM6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31.308032528129672</v>
      </c>
      <c r="BN6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14.490393736722011</v>
      </c>
      <c r="BO6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12.250969250137699</v>
      </c>
      <c r="BP658">
        <f>SUM(Таб[[#This Row],[1]:[12]])</f>
        <v>558.05580000000009</v>
      </c>
    </row>
    <row r="659" spans="2:68" ht="51">
      <c r="B659" t="s">
        <v>384</v>
      </c>
      <c r="C659" t="str">
        <f>IFERROR(VLOOKUP(Таб[[#This Row],[Зелений Тариф ЕЦ]],Sheet6!$H$9:$I$29,2,FALSE),"")</f>
        <v>Дах</v>
      </c>
      <c r="F659" t="s">
        <v>3411</v>
      </c>
      <c r="G659" s="1" t="s">
        <v>1640</v>
      </c>
      <c r="H659" t="s">
        <v>107</v>
      </c>
      <c r="J659" s="7">
        <v>12.404999999999999</v>
      </c>
      <c r="K659" s="8"/>
      <c r="L659" s="8">
        <v>43543</v>
      </c>
      <c r="M659">
        <v>3</v>
      </c>
      <c r="N659" s="49" t="s">
        <v>67</v>
      </c>
      <c r="O659">
        <v>2019</v>
      </c>
      <c r="P659">
        <v>0.16370000000000001</v>
      </c>
      <c r="Q659" s="10"/>
      <c r="R659" s="11">
        <f>ROUND(Таб[[#This Row],[Зелений Тариф ЕЦ]]+Таб[[#This Row],[Зелений Тариф ЕЦ]]*Таб[[#This Row],[% надбавки]],4)</f>
        <v>0.16370000000000001</v>
      </c>
      <c r="S659" s="12"/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1.82</v>
      </c>
      <c r="AX659">
        <v>1.698</v>
      </c>
      <c r="AY659">
        <v>1.4510000000000001</v>
      </c>
      <c r="BD6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399.45185400897009</v>
      </c>
      <c r="BE6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688.79088022661108</v>
      </c>
      <c r="BF6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1162.0417571170037</v>
      </c>
      <c r="BG6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1651.6924168699343</v>
      </c>
      <c r="BH6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2033.5730749547565</v>
      </c>
      <c r="BI6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2108.543510897789</v>
      </c>
      <c r="BJ6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2142.5144896844754</v>
      </c>
      <c r="BK6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1852.0040504052247</v>
      </c>
      <c r="BL6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1300.2684983869699</v>
      </c>
      <c r="BM6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835.21751292784631</v>
      </c>
      <c r="BN6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386.56631033126132</v>
      </c>
      <c r="BO6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326.8242441891573</v>
      </c>
      <c r="BP659">
        <f>SUM(Таб[[#This Row],[1]:[12]])</f>
        <v>14887.488600000001</v>
      </c>
    </row>
    <row r="660" spans="2:68" ht="38.25">
      <c r="B660" t="s">
        <v>384</v>
      </c>
      <c r="C660" t="str">
        <f>IFERROR(VLOOKUP(Таб[[#This Row],[Зелений Тариф ЕЦ]],Sheet6!$H$9:$I$29,2,FALSE),"")</f>
        <v>Дах</v>
      </c>
      <c r="G660" s="1" t="s">
        <v>1643</v>
      </c>
      <c r="H660" t="s">
        <v>122</v>
      </c>
      <c r="J660" s="7">
        <v>0.33400000000000002</v>
      </c>
      <c r="K660" s="8"/>
      <c r="L660" s="8">
        <v>42911</v>
      </c>
      <c r="M660">
        <v>6</v>
      </c>
      <c r="N660" s="49" t="s">
        <v>57</v>
      </c>
      <c r="O660">
        <v>2017</v>
      </c>
      <c r="P660">
        <v>0.17230000000000001</v>
      </c>
      <c r="Q660" s="10"/>
      <c r="R660" s="11">
        <f>ROUND(Таб[[#This Row],[Зелений Тариф ЕЦ]]+Таб[[#This Row],[Зелений Тариф ЕЦ]]*Таб[[#This Row],[% надбавки]],4)</f>
        <v>0.17230000000000001</v>
      </c>
      <c r="S660" s="12"/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8.9999999999999993E-3</v>
      </c>
      <c r="AC660">
        <v>0</v>
      </c>
      <c r="AD660">
        <v>8.0000000000000019E-3</v>
      </c>
      <c r="AE660">
        <v>5.9999999999999984E-3</v>
      </c>
      <c r="AF660">
        <v>4.0000000000000001E-3</v>
      </c>
      <c r="AG660">
        <v>0.01</v>
      </c>
      <c r="AH660">
        <v>1.4999999999999999E-2</v>
      </c>
      <c r="AI660">
        <v>4.5999999999999999E-2</v>
      </c>
      <c r="AJ660">
        <v>5.2999999999999999E-2</v>
      </c>
      <c r="AK660">
        <v>5.5E-2</v>
      </c>
      <c r="AL660">
        <v>4.9000000000000002E-2</v>
      </c>
      <c r="AM660">
        <v>5.2999999999999999E-2</v>
      </c>
      <c r="AN660">
        <v>3.3000000000000002E-2</v>
      </c>
      <c r="AO660">
        <v>2.3E-2</v>
      </c>
      <c r="AP660">
        <v>1.2999999999999999E-2</v>
      </c>
      <c r="AQ660">
        <v>2E-3</v>
      </c>
      <c r="AR660">
        <v>3.0000000000000001E-3</v>
      </c>
      <c r="AS660">
        <v>1.4E-2</v>
      </c>
      <c r="AT660">
        <v>3.1E-2</v>
      </c>
      <c r="AU660">
        <v>4.3999999999999997E-2</v>
      </c>
      <c r="AV660">
        <v>4.7E-2</v>
      </c>
      <c r="AW660">
        <v>5.5E-2</v>
      </c>
      <c r="AX660">
        <v>0</v>
      </c>
      <c r="AY660">
        <v>9.5000000000000001E-2</v>
      </c>
      <c r="BD6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10.755092240144782</v>
      </c>
      <c r="BE6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18.545437645762846</v>
      </c>
      <c r="BF6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31.287541062239356</v>
      </c>
      <c r="BG6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44.471202517900707</v>
      </c>
      <c r="BH6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54.753196858918876</v>
      </c>
      <c r="BI6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56.771747895192398</v>
      </c>
      <c r="BJ6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57.686403833503817</v>
      </c>
      <c r="BK6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49.864518567943989</v>
      </c>
      <c r="BL6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35.009244535368644</v>
      </c>
      <c r="BM6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22.487920138484537</v>
      </c>
      <c r="BN6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10.408153780785273</v>
      </c>
      <c r="BO6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8.7996209237548193</v>
      </c>
      <c r="BP660">
        <f>SUM(Таб[[#This Row],[1]:[12]])</f>
        <v>400.84008000000006</v>
      </c>
    </row>
    <row r="661" spans="2:68" ht="38.25">
      <c r="B661" t="s">
        <v>384</v>
      </c>
      <c r="C661" t="str">
        <f>IFERROR(VLOOKUP(Таб[[#This Row],[Зелений Тариф ЕЦ]],Sheet6!$H$9:$I$29,2,FALSE),"")</f>
        <v>Дах</v>
      </c>
      <c r="G661" s="1" t="s">
        <v>1643</v>
      </c>
      <c r="H661" t="s">
        <v>122</v>
      </c>
      <c r="J661" s="7">
        <v>0.42899999999999999</v>
      </c>
      <c r="K661" s="8"/>
      <c r="L661" s="8">
        <v>43396</v>
      </c>
      <c r="M661">
        <v>10</v>
      </c>
      <c r="N661" s="49" t="s">
        <v>71</v>
      </c>
      <c r="O661">
        <v>2018</v>
      </c>
      <c r="P661">
        <v>0.16370000000000001</v>
      </c>
      <c r="Q661" s="10"/>
      <c r="R661" s="11">
        <f>ROUND(Таб[[#This Row],[Зелений Тариф ЕЦ]]+Таб[[#This Row],[Зелений Тариф ЕЦ]]*Таб[[#This Row],[% надбавки]],4)</f>
        <v>0.16370000000000001</v>
      </c>
      <c r="S661" s="12"/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BD6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13.814175362341651</v>
      </c>
      <c r="BE6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23.82033757494689</v>
      </c>
      <c r="BF6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40.186691963175697</v>
      </c>
      <c r="BG6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57.120197246046104</v>
      </c>
      <c r="BH6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70.326710935557472</v>
      </c>
      <c r="BI6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72.919400739633332</v>
      </c>
      <c r="BJ6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74.094213307105193</v>
      </c>
      <c r="BK6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64.047540316311284</v>
      </c>
      <c r="BL6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44.966963789440555</v>
      </c>
      <c r="BM6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28.884184848532534</v>
      </c>
      <c r="BN6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13.368556802266113</v>
      </c>
      <c r="BO6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11.302507114643166</v>
      </c>
      <c r="BP661">
        <f>SUM(Таб[[#This Row],[1]:[12]])</f>
        <v>514.85147999999992</v>
      </c>
    </row>
    <row r="662" spans="2:68" ht="38.25">
      <c r="B662" t="s">
        <v>384</v>
      </c>
      <c r="C662" t="str">
        <f>IFERROR(VLOOKUP(Таб[[#This Row],[Зелений Тариф ЕЦ]],Sheet6!$H$9:$I$29,2,FALSE),"")</f>
        <v>Дах</v>
      </c>
      <c r="G662" s="1" t="s">
        <v>1645</v>
      </c>
      <c r="H662" t="s">
        <v>62</v>
      </c>
      <c r="J662" s="7">
        <v>0.13200000000000001</v>
      </c>
      <c r="K662" s="8"/>
      <c r="L662" s="8">
        <v>43596</v>
      </c>
      <c r="M662">
        <v>5</v>
      </c>
      <c r="N662" s="49" t="s">
        <v>57</v>
      </c>
      <c r="O662">
        <v>2019</v>
      </c>
      <c r="P662">
        <v>0.16370000000000001</v>
      </c>
      <c r="Q662" s="10"/>
      <c r="R662" s="11">
        <f>ROUND(Таб[[#This Row],[Зелений Тариф ЕЦ]]+Таб[[#This Row],[Зелений Тариф ЕЦ]]*Таб[[#This Row],[% надбавки]],4)</f>
        <v>0.16370000000000001</v>
      </c>
      <c r="S662" s="12"/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2.4E-2</v>
      </c>
      <c r="AX662">
        <v>1.9E-2</v>
      </c>
      <c r="AY662">
        <v>1.9E-2</v>
      </c>
      <c r="BD6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4.2505154961051232</v>
      </c>
      <c r="BE6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7.3293346384451965</v>
      </c>
      <c r="BF6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12.365135988669449</v>
      </c>
      <c r="BG6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17.575445306475725</v>
      </c>
      <c r="BH6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21.638987980171535</v>
      </c>
      <c r="BI6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22.436738689117952</v>
      </c>
      <c r="BJ6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22.798219479109292</v>
      </c>
      <c r="BK6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19.706935481941933</v>
      </c>
      <c r="BL6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13.835988858289404</v>
      </c>
      <c r="BM6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8.8874414918561655</v>
      </c>
      <c r="BN6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4.1134020930049582</v>
      </c>
      <c r="BO6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3.4776944968132826</v>
      </c>
      <c r="BP662">
        <f>SUM(Таб[[#This Row],[1]:[12]])</f>
        <v>158.41584000000003</v>
      </c>
    </row>
    <row r="663" spans="2:68" ht="25.5">
      <c r="B663" t="s">
        <v>384</v>
      </c>
      <c r="C663" t="str">
        <f>IFERROR(VLOOKUP(Таб[[#This Row],[Зелений Тариф ЕЦ]],Sheet6!$H$9:$I$29,2,FALSE),"")</f>
        <v>Дах</v>
      </c>
      <c r="G663" s="1" t="s">
        <v>1648</v>
      </c>
      <c r="H663" t="s">
        <v>62</v>
      </c>
      <c r="J663" s="7">
        <v>0.22</v>
      </c>
      <c r="K663" s="8"/>
      <c r="L663" s="8">
        <v>43637</v>
      </c>
      <c r="M663">
        <v>6</v>
      </c>
      <c r="N663" s="49" t="s">
        <v>57</v>
      </c>
      <c r="O663">
        <v>2019</v>
      </c>
      <c r="P663">
        <v>0.16370000000000001</v>
      </c>
      <c r="Q663" s="10"/>
      <c r="R663" s="11">
        <f>ROUND(Таб[[#This Row],[Зелений Тариф ЕЦ]]+Таб[[#This Row],[Зелений Тариф ЕЦ]]*Таб[[#This Row],[% надбавки]],4)</f>
        <v>0.16370000000000001</v>
      </c>
      <c r="S663" s="12"/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5.0999999999999997E-2</v>
      </c>
      <c r="BD6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7.084192493508537</v>
      </c>
      <c r="BE6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12.215557730741995</v>
      </c>
      <c r="BF6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20.608559981115746</v>
      </c>
      <c r="BG6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29.292408844126211</v>
      </c>
      <c r="BH6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36.064979966952556</v>
      </c>
      <c r="BI6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37.394564481863249</v>
      </c>
      <c r="BJ6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37.997032465182151</v>
      </c>
      <c r="BK6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32.844892469903215</v>
      </c>
      <c r="BL6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23.059981430482338</v>
      </c>
      <c r="BM6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14.81240248642694</v>
      </c>
      <c r="BN6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6.8556701550082622</v>
      </c>
      <c r="BO6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5.7961574946888037</v>
      </c>
      <c r="BP663">
        <f>SUM(Таб[[#This Row],[1]:[12]])</f>
        <v>264.02640000000002</v>
      </c>
    </row>
    <row r="664" spans="2:68" ht="25.5">
      <c r="B664" t="s">
        <v>384</v>
      </c>
      <c r="C664" t="str">
        <f>IFERROR(VLOOKUP(Таб[[#This Row],[Зелений Тариф ЕЦ]],Sheet6!$H$9:$I$29,2,FALSE),"")</f>
        <v>Дах</v>
      </c>
      <c r="G664" s="1" t="s">
        <v>1648</v>
      </c>
      <c r="H664" t="s">
        <v>62</v>
      </c>
      <c r="J664" s="7">
        <v>0.24199999999999999</v>
      </c>
      <c r="K664" s="8"/>
      <c r="L664" s="8">
        <v>43637</v>
      </c>
      <c r="M664">
        <v>6</v>
      </c>
      <c r="N664" s="49" t="s">
        <v>57</v>
      </c>
      <c r="O664">
        <v>2019</v>
      </c>
      <c r="P664">
        <v>0.16370000000000001</v>
      </c>
      <c r="Q664" s="10"/>
      <c r="R664" s="11">
        <f>ROUND(Таб[[#This Row],[Зелений Тариф ЕЦ]]+Таб[[#This Row],[Зелений Тариф ЕЦ]]*Таб[[#This Row],[% надбавки]],4)</f>
        <v>0.16370000000000001</v>
      </c>
      <c r="S664" s="12"/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BD6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7.7926117428593926</v>
      </c>
      <c r="BE6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13.437113503816194</v>
      </c>
      <c r="BF6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22.669415979227317</v>
      </c>
      <c r="BG6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32.221649728538829</v>
      </c>
      <c r="BH6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39.671477963647803</v>
      </c>
      <c r="BI6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41.134020930049573</v>
      </c>
      <c r="BJ6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41.796735711700364</v>
      </c>
      <c r="BK6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36.129381716893533</v>
      </c>
      <c r="BL6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25.365979573530566</v>
      </c>
      <c r="BM6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16.293642735069632</v>
      </c>
      <c r="BN6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7.5412371705090884</v>
      </c>
      <c r="BO6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6.3757732441576831</v>
      </c>
      <c r="BP664">
        <f>SUM(Таб[[#This Row],[1]:[12]])</f>
        <v>290.42903999999999</v>
      </c>
    </row>
    <row r="665" spans="2:68" ht="38.25">
      <c r="B665" t="s">
        <v>384</v>
      </c>
      <c r="C665" t="str">
        <f>IFERROR(VLOOKUP(Таб[[#This Row],[Зелений Тариф ЕЦ]],Sheet6!$H$9:$I$29,2,FALSE),"")</f>
        <v>Дах</v>
      </c>
      <c r="G665" s="1" t="s">
        <v>1653</v>
      </c>
      <c r="H665" t="s">
        <v>136</v>
      </c>
      <c r="J665" s="7">
        <v>0.3</v>
      </c>
      <c r="K665" s="8"/>
      <c r="L665" s="8">
        <v>43596</v>
      </c>
      <c r="M665">
        <v>5</v>
      </c>
      <c r="N665" s="49" t="s">
        <v>57</v>
      </c>
      <c r="O665">
        <v>2019</v>
      </c>
      <c r="P665">
        <v>0.16370000000000001</v>
      </c>
      <c r="Q665" s="10"/>
      <c r="R665" s="11">
        <f>ROUND(Таб[[#This Row],[Зелений Тариф ЕЦ]]+Таб[[#This Row],[Зелений Тариф ЕЦ]]*Таб[[#This Row],[% надбавки]],4)</f>
        <v>0.16370000000000001</v>
      </c>
      <c r="S665" s="12"/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4.9000000000000002E-2</v>
      </c>
      <c r="AX665">
        <v>5.1999999999999998E-2</v>
      </c>
      <c r="AY665">
        <v>4.8000000000000001E-2</v>
      </c>
      <c r="BD6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9.6602624911480071</v>
      </c>
      <c r="BE6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16.657578723739082</v>
      </c>
      <c r="BF6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28.102581792430563</v>
      </c>
      <c r="BG6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39.944193878353921</v>
      </c>
      <c r="BH6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49.179518136753472</v>
      </c>
      <c r="BI6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50.992587929813517</v>
      </c>
      <c r="BJ6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51.814135179793851</v>
      </c>
      <c r="BK6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44.788489731686212</v>
      </c>
      <c r="BL6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31.445429223385005</v>
      </c>
      <c r="BM6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20.198730663309465</v>
      </c>
      <c r="BN6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9.3486411204658122</v>
      </c>
      <c r="BO6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7.9038511291210956</v>
      </c>
      <c r="BP665">
        <f>SUM(Таб[[#This Row],[1]:[12]])</f>
        <v>360.036</v>
      </c>
    </row>
    <row r="666" spans="2:68" ht="38.25">
      <c r="B666" t="s">
        <v>384</v>
      </c>
      <c r="C666" t="str">
        <f>IFERROR(VLOOKUP(Таб[[#This Row],[Зелений Тариф ЕЦ]],Sheet6!$H$9:$I$29,2,FALSE),"")</f>
        <v>Дах</v>
      </c>
      <c r="G666" s="1" t="s">
        <v>1655</v>
      </c>
      <c r="H666" t="s">
        <v>107</v>
      </c>
      <c r="J666" s="7">
        <v>0.29599999999999999</v>
      </c>
      <c r="K666" s="8"/>
      <c r="L666" s="8">
        <v>43020</v>
      </c>
      <c r="M666">
        <v>10</v>
      </c>
      <c r="N666" s="49" t="s">
        <v>71</v>
      </c>
      <c r="O666">
        <v>2017</v>
      </c>
      <c r="P666">
        <v>0.16370000000000001</v>
      </c>
      <c r="Q666" s="10"/>
      <c r="R666" s="11">
        <f>ROUND(Таб[[#This Row],[Зелений Тариф ЕЦ]]+Таб[[#This Row],[Зелений Тариф ЕЦ]]*Таб[[#This Row],[% надбавки]],4)</f>
        <v>0.16370000000000001</v>
      </c>
      <c r="S666" s="12"/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2E-3</v>
      </c>
      <c r="AF666">
        <v>6.0000000000000001E-3</v>
      </c>
      <c r="AG666">
        <v>7.0000000000000001E-3</v>
      </c>
      <c r="AH666">
        <v>1.4E-2</v>
      </c>
      <c r="AI666">
        <v>4.1000000000000002E-2</v>
      </c>
      <c r="AJ666">
        <v>4.9000000000000002E-2</v>
      </c>
      <c r="AK666">
        <v>4.3999999999999997E-2</v>
      </c>
      <c r="AL666">
        <v>3.9E-2</v>
      </c>
      <c r="AM666">
        <v>4.1000000000000002E-2</v>
      </c>
      <c r="AN666">
        <v>2.9000000000000001E-2</v>
      </c>
      <c r="AO666">
        <v>2.4E-2</v>
      </c>
      <c r="AP666">
        <v>8.0000000000000002E-3</v>
      </c>
      <c r="AQ666">
        <v>1E-3</v>
      </c>
      <c r="AR666">
        <v>1E-3</v>
      </c>
      <c r="AS666">
        <v>1.2E-2</v>
      </c>
      <c r="AT666">
        <v>2.5000000000000001E-2</v>
      </c>
      <c r="AU666">
        <v>3.3000000000000002E-2</v>
      </c>
      <c r="AV666">
        <v>0.03</v>
      </c>
      <c r="AW666">
        <v>4.9000000000000002E-2</v>
      </c>
      <c r="AX666">
        <v>0</v>
      </c>
      <c r="AY666">
        <v>0</v>
      </c>
      <c r="BD6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9.5314589912660317</v>
      </c>
      <c r="BE6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16.435477674089228</v>
      </c>
      <c r="BF6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27.727880701864816</v>
      </c>
      <c r="BG6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39.411604626642536</v>
      </c>
      <c r="BH6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48.523791228263441</v>
      </c>
      <c r="BI6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50.312686757416003</v>
      </c>
      <c r="BJ6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51.123280044063264</v>
      </c>
      <c r="BK6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44.19130986859706</v>
      </c>
      <c r="BL6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31.026156833739869</v>
      </c>
      <c r="BM6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19.929414254465339</v>
      </c>
      <c r="BN6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9.2239925721929357</v>
      </c>
      <c r="BO6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7.7984664473994805</v>
      </c>
      <c r="BP666">
        <f>SUM(Таб[[#This Row],[1]:[12]])</f>
        <v>355.23552000000001</v>
      </c>
    </row>
    <row r="667" spans="2:68" ht="38.25">
      <c r="B667" t="s">
        <v>384</v>
      </c>
      <c r="C667" t="str">
        <f>IFERROR(VLOOKUP(Таб[[#This Row],[Зелений Тариф ЕЦ]],Sheet6!$H$9:$I$29,2,FALSE),"")</f>
        <v>Дах</v>
      </c>
      <c r="G667" s="1" t="s">
        <v>1657</v>
      </c>
      <c r="H667" t="s">
        <v>1658</v>
      </c>
      <c r="J667" s="7">
        <v>7.0000000000000007E-2</v>
      </c>
      <c r="K667" s="8"/>
      <c r="L667" s="8">
        <v>43371</v>
      </c>
      <c r="M667">
        <v>9</v>
      </c>
      <c r="N667" s="49" t="s">
        <v>60</v>
      </c>
      <c r="O667">
        <v>2018</v>
      </c>
      <c r="P667">
        <v>0.16370000000000001</v>
      </c>
      <c r="Q667" s="10"/>
      <c r="R667" s="11">
        <f>ROUND(Таб[[#This Row],[Зелений Тариф ЕЦ]]+Таб[[#This Row],[Зелений Тариф ЕЦ]]*Таб[[#This Row],[% надбавки]],4)</f>
        <v>0.16370000000000001</v>
      </c>
      <c r="S667" s="12"/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BD6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2.2540612479345352</v>
      </c>
      <c r="BE6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3.886768368872453</v>
      </c>
      <c r="BF6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6.5572690849004642</v>
      </c>
      <c r="BG6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9.32031190494925</v>
      </c>
      <c r="BH6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11.475220898575813</v>
      </c>
      <c r="BI6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11.89827051695649</v>
      </c>
      <c r="BJ6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12.089964875285233</v>
      </c>
      <c r="BK6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10.450647604060116</v>
      </c>
      <c r="BL6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7.3372668187898364</v>
      </c>
      <c r="BM6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4.7130371547722092</v>
      </c>
      <c r="BN6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2.1813495947753565</v>
      </c>
      <c r="BO6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1.8442319301282559</v>
      </c>
      <c r="BP667">
        <f>SUM(Таб[[#This Row],[1]:[12]])</f>
        <v>84.008400000000009</v>
      </c>
    </row>
    <row r="668" spans="2:68" ht="51">
      <c r="B668" t="s">
        <v>384</v>
      </c>
      <c r="C668" t="str">
        <f>IFERROR(VLOOKUP(Таб[[#This Row],[Зелений Тариф ЕЦ]],Sheet6!$H$9:$I$29,2,FALSE),"")</f>
        <v>Дах</v>
      </c>
      <c r="G668" s="1" t="s">
        <v>1660</v>
      </c>
      <c r="H668" t="s">
        <v>163</v>
      </c>
      <c r="J668" s="7">
        <v>6.4000000000000001E-2</v>
      </c>
      <c r="K668" s="8"/>
      <c r="L668" s="8">
        <v>43046</v>
      </c>
      <c r="M668">
        <v>11</v>
      </c>
      <c r="N668" s="49" t="s">
        <v>71</v>
      </c>
      <c r="O668">
        <v>2017</v>
      </c>
      <c r="P668">
        <v>0.16370000000000001</v>
      </c>
      <c r="Q668" s="10"/>
      <c r="R668" s="11">
        <f>ROUND(Таб[[#This Row],[Зелений Тариф ЕЦ]]+Таб[[#This Row],[Зелений Тариф ЕЦ]]*Таб[[#This Row],[% надбавки]],4)</f>
        <v>0.16370000000000001</v>
      </c>
      <c r="S668" s="12"/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0.01</v>
      </c>
      <c r="AK668">
        <v>0.01</v>
      </c>
      <c r="AL668">
        <v>8.9999999999999993E-3</v>
      </c>
      <c r="AM668">
        <v>1.0999999999999999E-2</v>
      </c>
      <c r="AN668">
        <v>7.0000000000000001E-3</v>
      </c>
      <c r="AO668">
        <v>6.0000000000000001E-3</v>
      </c>
      <c r="AP668">
        <v>2E-3</v>
      </c>
      <c r="AQ668">
        <v>0</v>
      </c>
      <c r="AR668">
        <v>1E-3</v>
      </c>
      <c r="AS668">
        <v>3.0000000000000001E-3</v>
      </c>
      <c r="AT668">
        <v>5.0000000000000001E-3</v>
      </c>
      <c r="AU668">
        <v>8.0000000000000002E-3</v>
      </c>
      <c r="AV668">
        <v>8.0000000000000002E-3</v>
      </c>
      <c r="AW668">
        <v>0.01</v>
      </c>
      <c r="AX668">
        <v>0.01</v>
      </c>
      <c r="AY668">
        <v>8.9999999999999993E-3</v>
      </c>
      <c r="BD6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2.0608559981115748</v>
      </c>
      <c r="BE6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3.5536167943976711</v>
      </c>
      <c r="BF6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5.9952174490518528</v>
      </c>
      <c r="BG6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8.5214280273821714</v>
      </c>
      <c r="BH6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10.491630535840741</v>
      </c>
      <c r="BI6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10.878418758360219</v>
      </c>
      <c r="BJ6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11.053682171689353</v>
      </c>
      <c r="BK6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9.554877809426392</v>
      </c>
      <c r="BL6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6.7083582343221355</v>
      </c>
      <c r="BM6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4.3090625415060195</v>
      </c>
      <c r="BN6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1.9943767723660404</v>
      </c>
      <c r="BO6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1.6861549075458335</v>
      </c>
      <c r="BP668">
        <f>SUM(Таб[[#This Row],[1]:[12]])</f>
        <v>76.807680000000005</v>
      </c>
    </row>
    <row r="669" spans="2:68" ht="25.5">
      <c r="B669" t="s">
        <v>384</v>
      </c>
      <c r="C669" t="str">
        <f>IFERROR(VLOOKUP(Таб[[#This Row],[Зелений Тариф ЕЦ]],Sheet6!$H$9:$I$29,2,FALSE),"")</f>
        <v>Дах</v>
      </c>
      <c r="G669" s="1" t="s">
        <v>1662</v>
      </c>
      <c r="H669" t="s">
        <v>122</v>
      </c>
      <c r="J669" s="7">
        <v>0.48399999999999999</v>
      </c>
      <c r="K669" s="8"/>
      <c r="L669" s="8">
        <v>43553</v>
      </c>
      <c r="M669">
        <v>3</v>
      </c>
      <c r="N669" s="49" t="s">
        <v>67</v>
      </c>
      <c r="O669">
        <v>2019</v>
      </c>
      <c r="P669">
        <v>0.16370000000000001</v>
      </c>
      <c r="Q669" s="10"/>
      <c r="R669" s="11">
        <f>ROUND(Таб[[#This Row],[Зелений Тариф ЕЦ]]+Таб[[#This Row],[Зелений Тариф ЕЦ]]*Таб[[#This Row],[% надбавки]],4)</f>
        <v>0.16370000000000001</v>
      </c>
      <c r="S669" s="12"/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4.9000000000000002E-2</v>
      </c>
      <c r="AX669">
        <v>7.6999999999999999E-2</v>
      </c>
      <c r="AY669">
        <v>7.0000000000000007E-2</v>
      </c>
      <c r="BD6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15.585223485718785</v>
      </c>
      <c r="BE6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26.874227007632388</v>
      </c>
      <c r="BF6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45.338831958454634</v>
      </c>
      <c r="BG6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64.443299457077657</v>
      </c>
      <c r="BH6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79.342955927295606</v>
      </c>
      <c r="BI6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82.268041860099146</v>
      </c>
      <c r="BJ6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83.593471423400729</v>
      </c>
      <c r="BK6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72.258763433787067</v>
      </c>
      <c r="BL6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50.731959147061133</v>
      </c>
      <c r="BM6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32.587285470139264</v>
      </c>
      <c r="BN6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15.082474341018177</v>
      </c>
      <c r="BO6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12.751546488315366</v>
      </c>
      <c r="BP669">
        <f>SUM(Таб[[#This Row],[1]:[12]])</f>
        <v>580.85807999999997</v>
      </c>
    </row>
    <row r="670" spans="2:68" ht="25.5">
      <c r="B670" t="s">
        <v>384</v>
      </c>
      <c r="C670" t="str">
        <f>IFERROR(VLOOKUP(Таб[[#This Row],[Зелений Тариф ЕЦ]],Sheet6!$H$9:$I$29,2,FALSE),"")</f>
        <v>Дах</v>
      </c>
      <c r="G670" s="1" t="s">
        <v>1350</v>
      </c>
      <c r="H670" t="s">
        <v>65</v>
      </c>
      <c r="J670" s="7">
        <v>0.08</v>
      </c>
      <c r="K670" s="8"/>
      <c r="L670" s="8">
        <v>43111</v>
      </c>
      <c r="M670">
        <v>1</v>
      </c>
      <c r="N670" s="49" t="s">
        <v>67</v>
      </c>
      <c r="O670">
        <v>2018</v>
      </c>
      <c r="P670">
        <v>0.16370000000000001</v>
      </c>
      <c r="Q670" s="10"/>
      <c r="R670" s="11">
        <f>ROUND(Таб[[#This Row],[Зелений Тариф ЕЦ]]+Таб[[#This Row],[Зелений Тариф ЕЦ]]*Таб[[#This Row],[% надбавки]],4)</f>
        <v>0.16370000000000001</v>
      </c>
      <c r="S670" s="12"/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1E-3</v>
      </c>
      <c r="AG670">
        <v>1E-3</v>
      </c>
      <c r="AH670">
        <v>2E-3</v>
      </c>
      <c r="AI670">
        <v>8.9999999999999993E-3</v>
      </c>
      <c r="AJ670">
        <v>0.01</v>
      </c>
      <c r="AK670">
        <v>8.9999999999999993E-3</v>
      </c>
      <c r="AL670">
        <v>8.9999999999999993E-3</v>
      </c>
      <c r="AM670">
        <v>8.9999999999999993E-3</v>
      </c>
      <c r="AN670">
        <v>6.0000000000000001E-3</v>
      </c>
      <c r="AO670">
        <v>4.0000000000000001E-3</v>
      </c>
      <c r="AP670">
        <v>1E-3</v>
      </c>
      <c r="AQ670">
        <v>0</v>
      </c>
      <c r="AR670">
        <v>0</v>
      </c>
      <c r="AS670">
        <v>2E-3</v>
      </c>
      <c r="AT670">
        <v>6.0000000000000001E-3</v>
      </c>
      <c r="AU670">
        <v>7.0000000000000001E-3</v>
      </c>
      <c r="AV670">
        <v>7.0000000000000001E-3</v>
      </c>
      <c r="AW670">
        <v>8.9999999999999993E-3</v>
      </c>
      <c r="AX670">
        <v>8.9999999999999993E-3</v>
      </c>
      <c r="AY670">
        <v>8.0000000000000002E-3</v>
      </c>
      <c r="BD6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2.5760699976394683</v>
      </c>
      <c r="BE6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4.4420209929970884</v>
      </c>
      <c r="BF6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7.4940218113148163</v>
      </c>
      <c r="BG6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10.651785034227713</v>
      </c>
      <c r="BH6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13.114538169800928</v>
      </c>
      <c r="BI6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13.598023447950276</v>
      </c>
      <c r="BJ6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13.817102714611693</v>
      </c>
      <c r="BK6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11.943597261782987</v>
      </c>
      <c r="BL6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8.385447792902669</v>
      </c>
      <c r="BM6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5.3863281768825244</v>
      </c>
      <c r="BN6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2.49297096545755</v>
      </c>
      <c r="BO6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2.1076936344322919</v>
      </c>
      <c r="BP670">
        <f>SUM(Таб[[#This Row],[1]:[12]])</f>
        <v>96.009599999999992</v>
      </c>
    </row>
    <row r="671" spans="2:68" ht="25.5">
      <c r="B671" t="s">
        <v>384</v>
      </c>
      <c r="C671" t="str">
        <f>IFERROR(VLOOKUP(Таб[[#This Row],[Зелений Тариф ЕЦ]],Sheet6!$H$9:$I$29,2,FALSE),"")</f>
        <v>Дах</v>
      </c>
      <c r="G671" s="1" t="s">
        <v>1350</v>
      </c>
      <c r="H671" t="s">
        <v>65</v>
      </c>
      <c r="J671" s="7">
        <v>0.35899999999999999</v>
      </c>
      <c r="K671" s="8"/>
      <c r="L671" s="8">
        <v>43130</v>
      </c>
      <c r="M671">
        <v>1</v>
      </c>
      <c r="N671" s="49" t="s">
        <v>67</v>
      </c>
      <c r="O671">
        <v>2018</v>
      </c>
      <c r="P671">
        <v>0.16370000000000001</v>
      </c>
      <c r="Q671" s="10"/>
      <c r="R671" s="11">
        <f>ROUND(Таб[[#This Row],[Зелений Тариф ЕЦ]]+Таб[[#This Row],[Зелений Тариф ЕЦ]]*Таб[[#This Row],[% надбавки]],4)</f>
        <v>0.16370000000000001</v>
      </c>
      <c r="S671" s="12"/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5.0000000000000001E-3</v>
      </c>
      <c r="AG671">
        <v>8.0000000000000002E-3</v>
      </c>
      <c r="AH671">
        <v>1.4E-2</v>
      </c>
      <c r="AI671">
        <v>3.9E-2</v>
      </c>
      <c r="AJ671">
        <v>0.05</v>
      </c>
      <c r="AK671">
        <v>4.1000000000000002E-2</v>
      </c>
      <c r="AL671">
        <v>4.3999999999999997E-2</v>
      </c>
      <c r="AM671">
        <v>4.8000000000000001E-2</v>
      </c>
      <c r="AN671">
        <v>4.0999999999999995E-2</v>
      </c>
      <c r="AO671">
        <v>3.2000000000000001E-2</v>
      </c>
      <c r="AP671">
        <v>0.01</v>
      </c>
      <c r="AQ671">
        <v>4.0000000000000001E-3</v>
      </c>
      <c r="AR671">
        <v>4.0000000000000001E-3</v>
      </c>
      <c r="AS671">
        <v>0.02</v>
      </c>
      <c r="AT671">
        <v>2.9000000000000001E-2</v>
      </c>
      <c r="AU671">
        <v>3.7999999999999999E-2</v>
      </c>
      <c r="AV671">
        <v>3.7999999999999999E-2</v>
      </c>
      <c r="AW671">
        <v>5.0999999999999997E-2</v>
      </c>
      <c r="AX671">
        <v>5.0999999999999997E-2</v>
      </c>
      <c r="AY671">
        <v>4.9000000000000002E-2</v>
      </c>
      <c r="BD6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11.560114114407115</v>
      </c>
      <c r="BE6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19.933569206074438</v>
      </c>
      <c r="BF6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33.629422878275236</v>
      </c>
      <c r="BG6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47.799885341096854</v>
      </c>
      <c r="BH6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58.851490036981659</v>
      </c>
      <c r="BI6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61.021130222676845</v>
      </c>
      <c r="BJ6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62.004248431819967</v>
      </c>
      <c r="BK6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53.596892712251162</v>
      </c>
      <c r="BL6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37.62969697065072</v>
      </c>
      <c r="BM6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24.171147693760325</v>
      </c>
      <c r="BN6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11.187207207490756</v>
      </c>
      <c r="BO6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9.4582751845149104</v>
      </c>
      <c r="BP671">
        <f>SUM(Таб[[#This Row],[1]:[12]])</f>
        <v>430.84307999999993</v>
      </c>
    </row>
    <row r="672" spans="2:68" ht="25.5">
      <c r="B672" t="s">
        <v>384</v>
      </c>
      <c r="C672" t="str">
        <f>IFERROR(VLOOKUP(Таб[[#This Row],[Зелений Тариф ЕЦ]],Sheet6!$H$9:$I$29,2,FALSE),"")</f>
        <v>Дах</v>
      </c>
      <c r="G672" s="1" t="s">
        <v>1350</v>
      </c>
      <c r="H672" t="s">
        <v>65</v>
      </c>
      <c r="J672" s="7">
        <v>0.16800000000000001</v>
      </c>
      <c r="K672" s="8"/>
      <c r="L672" s="8">
        <v>43476</v>
      </c>
      <c r="M672">
        <v>1</v>
      </c>
      <c r="N672" s="49" t="s">
        <v>67</v>
      </c>
      <c r="O672">
        <v>2019</v>
      </c>
      <c r="P672">
        <v>0.16370000000000001</v>
      </c>
      <c r="Q672" s="10"/>
      <c r="R672" s="11">
        <f>ROUND(Таб[[#This Row],[Зелений Тариф ЕЦ]]+Таб[[#This Row],[Зелений Тариф ЕЦ]]*Таб[[#This Row],[% надбавки]],4)</f>
        <v>0.16370000000000001</v>
      </c>
      <c r="S672" s="12"/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1E-3</v>
      </c>
      <c r="AS672">
        <v>7.0000000000000001E-3</v>
      </c>
      <c r="AT672">
        <v>1.4E-2</v>
      </c>
      <c r="AU672">
        <v>1.7999999999999999E-2</v>
      </c>
      <c r="AV672">
        <v>1.9E-2</v>
      </c>
      <c r="AW672">
        <v>2.5999999999999999E-2</v>
      </c>
      <c r="AX672">
        <v>2.5999999999999999E-2</v>
      </c>
      <c r="AY672">
        <v>2.3E-2</v>
      </c>
      <c r="BD6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5.4097469950428838</v>
      </c>
      <c r="BE6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9.3282440852938873</v>
      </c>
      <c r="BF6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15.737445803761116</v>
      </c>
      <c r="BG6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22.3687485718782</v>
      </c>
      <c r="BH6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27.540530156581951</v>
      </c>
      <c r="BI6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28.555849240695572</v>
      </c>
      <c r="BJ6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29.015915700684552</v>
      </c>
      <c r="BK6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25.081554249744279</v>
      </c>
      <c r="BL6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17.609440365095605</v>
      </c>
      <c r="BM6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11.3112891714533</v>
      </c>
      <c r="BN6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5.2352390274608549</v>
      </c>
      <c r="BO6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4.4261566323078139</v>
      </c>
      <c r="BP672">
        <f>SUM(Таб[[#This Row],[1]:[12]])</f>
        <v>201.62016000000003</v>
      </c>
    </row>
    <row r="673" spans="2:68" ht="25.5">
      <c r="B673" t="s">
        <v>384</v>
      </c>
      <c r="C673" t="str">
        <f>IFERROR(VLOOKUP(Таб[[#This Row],[Зелений Тариф ЕЦ]],Sheet6!$H$9:$I$29,2,FALSE),"")</f>
        <v>Дах</v>
      </c>
      <c r="G673" s="1" t="s">
        <v>1667</v>
      </c>
      <c r="H673" t="s">
        <v>73</v>
      </c>
      <c r="J673" s="7">
        <v>0.05</v>
      </c>
      <c r="K673" s="8"/>
      <c r="L673" s="8">
        <v>42670</v>
      </c>
      <c r="M673">
        <v>10</v>
      </c>
      <c r="N673" s="49" t="s">
        <v>71</v>
      </c>
      <c r="O673">
        <v>2016</v>
      </c>
      <c r="P673">
        <v>0.17230000000000001</v>
      </c>
      <c r="Q673" s="10"/>
      <c r="R673" s="11">
        <f>ROUND(Таб[[#This Row],[Зелений Тариф ЕЦ]]+Таб[[#This Row],[Зелений Тариф ЕЦ]]*Таб[[#This Row],[% надбавки]],4)</f>
        <v>0.17230000000000001</v>
      </c>
      <c r="S673" s="12"/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BD6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1.6100437485246681</v>
      </c>
      <c r="BE6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2.7762631206231809</v>
      </c>
      <c r="BF6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4.6837636320717602</v>
      </c>
      <c r="BG6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6.6573656463923196</v>
      </c>
      <c r="BH6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8.1965863561255805</v>
      </c>
      <c r="BI6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8.4987646549689195</v>
      </c>
      <c r="BJ6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8.6356891966323079</v>
      </c>
      <c r="BK6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7.4647482886143681</v>
      </c>
      <c r="BL6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5.2409048705641688</v>
      </c>
      <c r="BM6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3.3664551105515779</v>
      </c>
      <c r="BN6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1.558106853410969</v>
      </c>
      <c r="BO6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1.3173085215201827</v>
      </c>
      <c r="BP673">
        <f>SUM(Таб[[#This Row],[1]:[12]])</f>
        <v>60.005999999999993</v>
      </c>
    </row>
    <row r="674" spans="2:68" ht="38.25">
      <c r="B674" t="s">
        <v>384</v>
      </c>
      <c r="C674" t="str">
        <f>IFERROR(VLOOKUP(Таб[[#This Row],[Зелений Тариф ЕЦ]],Sheet6!$H$9:$I$29,2,FALSE),"")</f>
        <v>Земля</v>
      </c>
      <c r="D674" t="s">
        <v>3356</v>
      </c>
      <c r="E674" t="s">
        <v>3288</v>
      </c>
      <c r="F674" t="s">
        <v>3287</v>
      </c>
      <c r="G674" s="1" t="s">
        <v>1669</v>
      </c>
      <c r="H674" t="s">
        <v>122</v>
      </c>
      <c r="J674" s="7">
        <v>323.29000000000002</v>
      </c>
      <c r="K674" s="8"/>
      <c r="L674" s="8">
        <v>43714</v>
      </c>
      <c r="M674">
        <v>9</v>
      </c>
      <c r="N674" s="49" t="s">
        <v>60</v>
      </c>
      <c r="O674">
        <v>2019</v>
      </c>
      <c r="P674">
        <v>0.15029999999999999</v>
      </c>
      <c r="Q674" s="10"/>
      <c r="R674" s="11">
        <f>ROUND(Таб[[#This Row],[Зелений Тариф ЕЦ]]+Таб[[#This Row],[Зелений Тариф ЕЦ]]*Таб[[#This Row],[% надбавки]],4)</f>
        <v>0.15029999999999999</v>
      </c>
      <c r="S674" s="12"/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BD6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10410.220869210798</v>
      </c>
      <c r="BE6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17950.762085325361</v>
      </c>
      <c r="BF6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30284.278892249589</v>
      </c>
      <c r="BG6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43045.194796443473</v>
      </c>
      <c r="BH6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52997.488061436779</v>
      </c>
      <c r="BI6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54951.312506098046</v>
      </c>
      <c r="BJ6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55836.639207585191</v>
      </c>
      <c r="BK6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48265.569484522784</v>
      </c>
      <c r="BL6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33886.642712093795</v>
      </c>
      <c r="BM6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21766.825453804388</v>
      </c>
      <c r="BN6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10074.407292784643</v>
      </c>
      <c r="BO6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8517.4534384451963</v>
      </c>
      <c r="BP674">
        <f>SUM(Таб[[#This Row],[1]:[12]])</f>
        <v>387986.79480000003</v>
      </c>
    </row>
    <row r="675" spans="2:68" ht="51">
      <c r="B675" t="s">
        <v>384</v>
      </c>
      <c r="C675" t="str">
        <f>IFERROR(VLOOKUP(Таб[[#This Row],[Зелений Тариф ЕЦ]],Sheet6!$H$9:$I$29,2,FALSE),"")</f>
        <v>Земля</v>
      </c>
      <c r="G675" s="1" t="s">
        <v>1672</v>
      </c>
      <c r="H675" t="s">
        <v>65</v>
      </c>
      <c r="J675" s="7">
        <v>0.69299999999999995</v>
      </c>
      <c r="K675" s="8"/>
      <c r="L675" s="8">
        <v>43714</v>
      </c>
      <c r="M675">
        <v>9</v>
      </c>
      <c r="N675" s="49" t="s">
        <v>60</v>
      </c>
      <c r="O675">
        <v>2019</v>
      </c>
      <c r="P675">
        <v>0.15029999999999999</v>
      </c>
      <c r="Q675" s="10"/>
      <c r="R675" s="11">
        <f>ROUND(Таб[[#This Row],[Зелений Тариф ЕЦ]]+Таб[[#This Row],[Зелений Тариф ЕЦ]]*Таб[[#This Row],[% надбавки]],4)</f>
        <v>0.15029999999999999</v>
      </c>
      <c r="S675" s="12"/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BD6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22.31520635455189</v>
      </c>
      <c r="BE6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38.479006851837276</v>
      </c>
      <c r="BF6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64.916963940514592</v>
      </c>
      <c r="BG6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92.271087858997547</v>
      </c>
      <c r="BH6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113.60468689590053</v>
      </c>
      <c r="BI6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117.79287811786922</v>
      </c>
      <c r="BJ6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119.69065226532376</v>
      </c>
      <c r="BK6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103.46141128019514</v>
      </c>
      <c r="BL6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72.638941506019364</v>
      </c>
      <c r="BM6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46.659067832244858</v>
      </c>
      <c r="BN6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21.595360988276028</v>
      </c>
      <c r="BO6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18.25789610826973</v>
      </c>
      <c r="BP675">
        <f>SUM(Таб[[#This Row],[1]:[12]])</f>
        <v>831.68315999999993</v>
      </c>
    </row>
    <row r="676" spans="2:68" ht="25.5">
      <c r="B676" t="s">
        <v>384</v>
      </c>
      <c r="C676" t="str">
        <f>IFERROR(VLOOKUP(Таб[[#This Row],[Зелений Тариф ЕЦ]],Sheet6!$H$9:$I$29,2,FALSE),"")</f>
        <v>Земля</v>
      </c>
      <c r="G676" s="1" t="s">
        <v>1675</v>
      </c>
      <c r="H676" t="s">
        <v>163</v>
      </c>
      <c r="J676" s="7">
        <v>0.52100000000000002</v>
      </c>
      <c r="K676" s="8"/>
      <c r="L676" s="8">
        <v>43714</v>
      </c>
      <c r="M676">
        <v>9</v>
      </c>
      <c r="N676" s="49" t="s">
        <v>60</v>
      </c>
      <c r="O676">
        <v>2019</v>
      </c>
      <c r="P676">
        <v>0.15029999999999999</v>
      </c>
      <c r="Q676" s="10"/>
      <c r="R676" s="11">
        <f>ROUND(Таб[[#This Row],[Зелений Тариф ЕЦ]]+Таб[[#This Row],[Зелений Тариф ЕЦ]]*Таб[[#This Row],[% надбавки]],4)</f>
        <v>0.15029999999999999</v>
      </c>
      <c r="S676" s="12"/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BD6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16.776655859627038</v>
      </c>
      <c r="BE6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28.928661716893544</v>
      </c>
      <c r="BF6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48.804817046187743</v>
      </c>
      <c r="BG6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69.369750035407975</v>
      </c>
      <c r="BH6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85.408429830828538</v>
      </c>
      <c r="BI6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88.55712770477615</v>
      </c>
      <c r="BJ6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89.983881428908646</v>
      </c>
      <c r="BK6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77.782677167361712</v>
      </c>
      <c r="BL6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54.610228751278626</v>
      </c>
      <c r="BM6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35.078462251947435</v>
      </c>
      <c r="BN6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16.235473412542298</v>
      </c>
      <c r="BO6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13.726354794240304</v>
      </c>
      <c r="BP676">
        <f>SUM(Таб[[#This Row],[1]:[12]])</f>
        <v>625.26252000000011</v>
      </c>
    </row>
    <row r="677" spans="2:68" ht="38.25">
      <c r="B677" t="s">
        <v>384</v>
      </c>
      <c r="C677" t="str">
        <f>IFERROR(VLOOKUP(Таб[[#This Row],[Зелений Тариф ЕЦ]],Sheet6!$H$9:$I$29,2,FALSE),"")</f>
        <v>Земля</v>
      </c>
      <c r="G677" s="1" t="s">
        <v>1677</v>
      </c>
      <c r="H677" t="s">
        <v>172</v>
      </c>
      <c r="J677" s="7">
        <v>3.004</v>
      </c>
      <c r="K677" s="8"/>
      <c r="L677" s="8">
        <v>43714</v>
      </c>
      <c r="M677">
        <v>9</v>
      </c>
      <c r="N677" s="49" t="s">
        <v>60</v>
      </c>
      <c r="O677">
        <v>2019</v>
      </c>
      <c r="P677">
        <v>0.15029999999999999</v>
      </c>
      <c r="Q677" s="10"/>
      <c r="R677" s="11">
        <f>ROUND(Таб[[#This Row],[Зелений Тариф ЕЦ]]+Таб[[#This Row],[Зелений Тариф ЕЦ]]*Таб[[#This Row],[% надбавки]],4)</f>
        <v>0.15029999999999999</v>
      </c>
      <c r="S677" s="12"/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BD6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96.731428411362032</v>
      </c>
      <c r="BE6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166.79788828704068</v>
      </c>
      <c r="BF6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281.40051901487135</v>
      </c>
      <c r="BG6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399.97452803525061</v>
      </c>
      <c r="BH6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492.4509082760249</v>
      </c>
      <c r="BI6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510.60578047053264</v>
      </c>
      <c r="BJ6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518.83220693366911</v>
      </c>
      <c r="BK6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448.48207717995115</v>
      </c>
      <c r="BL6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314.87356462349521</v>
      </c>
      <c r="BM6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202.25662304193878</v>
      </c>
      <c r="BN6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93.611059752930998</v>
      </c>
      <c r="BO6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79.143895972932569</v>
      </c>
      <c r="BP677">
        <f>SUM(Таб[[#This Row],[1]:[12]])</f>
        <v>3605.1604800000005</v>
      </c>
    </row>
    <row r="678" spans="2:68" ht="38.25">
      <c r="B678" t="s">
        <v>384</v>
      </c>
      <c r="C678" t="str">
        <f>IFERROR(VLOOKUP(Таб[[#This Row],[Зелений Тариф ЕЦ]],Sheet6!$H$9:$I$29,2,FALSE),"")</f>
        <v>Земля</v>
      </c>
      <c r="G678" s="1" t="s">
        <v>1679</v>
      </c>
      <c r="H678" t="s">
        <v>82</v>
      </c>
      <c r="J678" s="7">
        <v>1.0269999999999999</v>
      </c>
      <c r="K678" s="8"/>
      <c r="L678" s="8">
        <v>43714</v>
      </c>
      <c r="M678">
        <v>9</v>
      </c>
      <c r="N678" s="49" t="s">
        <v>60</v>
      </c>
      <c r="O678">
        <v>2019</v>
      </c>
      <c r="P678">
        <v>0.15029999999999999</v>
      </c>
      <c r="Q678" s="10"/>
      <c r="R678" s="11">
        <f>ROUND(Таб[[#This Row],[Зелений Тариф ЕЦ]]+Таб[[#This Row],[Зелений Тариф ЕЦ]]*Таб[[#This Row],[% надбавки]],4)</f>
        <v>0.15029999999999999</v>
      </c>
      <c r="S678" s="12"/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BD6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33.070298594696673</v>
      </c>
      <c r="BE6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57.024444497600122</v>
      </c>
      <c r="BF6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96.204505002753962</v>
      </c>
      <c r="BG6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136.74229037689824</v>
      </c>
      <c r="BH6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168.3578837548194</v>
      </c>
      <c r="BI6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174.5646260130616</v>
      </c>
      <c r="BJ6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177.37705609882758</v>
      </c>
      <c r="BK6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153.32592984813908</v>
      </c>
      <c r="BL6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107.64818604138802</v>
      </c>
      <c r="BM6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69.146987970729398</v>
      </c>
      <c r="BN6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32.003514769061297</v>
      </c>
      <c r="BO6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27.057517032024549</v>
      </c>
      <c r="BP678">
        <f>SUM(Таб[[#This Row],[1]:[12]])</f>
        <v>1232.52324</v>
      </c>
    </row>
    <row r="679" spans="2:68" ht="38.25">
      <c r="B679" t="s">
        <v>384</v>
      </c>
      <c r="C679" t="str">
        <f>IFERROR(VLOOKUP(Таб[[#This Row],[Зелений Тариф ЕЦ]],Sheet6!$H$9:$I$29,2,FALSE),"")</f>
        <v>Земля</v>
      </c>
      <c r="G679" s="1" t="s">
        <v>1681</v>
      </c>
      <c r="H679" t="s">
        <v>233</v>
      </c>
      <c r="J679" s="7">
        <v>1.86</v>
      </c>
      <c r="K679" s="8"/>
      <c r="L679" s="8">
        <v>43714</v>
      </c>
      <c r="M679">
        <v>9</v>
      </c>
      <c r="N679" s="49" t="s">
        <v>60</v>
      </c>
      <c r="O679">
        <v>2019</v>
      </c>
      <c r="P679">
        <v>0.15029999999999999</v>
      </c>
      <c r="Q679" s="10"/>
      <c r="R679" s="11">
        <f>ROUND(Таб[[#This Row],[Зелений Тариф ЕЦ]]+Таб[[#This Row],[Зелений Тариф ЕЦ]]*Таб[[#This Row],[% надбавки]],4)</f>
        <v>0.15029999999999999</v>
      </c>
      <c r="S679" s="12"/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BD6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59.893627445117652</v>
      </c>
      <c r="BE6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103.27698808718232</v>
      </c>
      <c r="BF6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174.23600711306949</v>
      </c>
      <c r="BG6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247.65400204579436</v>
      </c>
      <c r="BH6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304.91301244787155</v>
      </c>
      <c r="BI6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316.15404516484386</v>
      </c>
      <c r="BJ6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321.24763811472189</v>
      </c>
      <c r="BK6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277.68863633645446</v>
      </c>
      <c r="BL6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194.96166118498707</v>
      </c>
      <c r="BM6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125.23213011251869</v>
      </c>
      <c r="BN6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57.961574946888042</v>
      </c>
      <c r="BO6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49.003877000550794</v>
      </c>
      <c r="BP679">
        <f>SUM(Таб[[#This Row],[1]:[12]])</f>
        <v>2232.2232000000004</v>
      </c>
    </row>
    <row r="680" spans="2:68" ht="38.25">
      <c r="B680" t="s">
        <v>384</v>
      </c>
      <c r="C680" t="str">
        <f>IFERROR(VLOOKUP(Таб[[#This Row],[Зелений Тариф ЕЦ]],Sheet6!$H$9:$I$29,2,FALSE),"")</f>
        <v>Дах</v>
      </c>
      <c r="G680" s="1" t="s">
        <v>1683</v>
      </c>
      <c r="H680" t="s">
        <v>73</v>
      </c>
      <c r="J680" s="7">
        <v>0.622</v>
      </c>
      <c r="K680" s="8"/>
      <c r="L680" s="8">
        <v>43714</v>
      </c>
      <c r="M680">
        <v>9</v>
      </c>
      <c r="N680" s="49" t="s">
        <v>60</v>
      </c>
      <c r="O680">
        <v>2019</v>
      </c>
      <c r="P680">
        <v>0.16370000000000001</v>
      </c>
      <c r="Q680" s="10"/>
      <c r="R680" s="11">
        <f>ROUND(Таб[[#This Row],[Зелений Тариф ЕЦ]]+Таб[[#This Row],[Зелений Тариф ЕЦ]]*Таб[[#This Row],[% надбавки]],4)</f>
        <v>0.16370000000000001</v>
      </c>
      <c r="S680" s="12"/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BD6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20.028944231646868</v>
      </c>
      <c r="BE6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34.536713220552372</v>
      </c>
      <c r="BF6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58.266019582972696</v>
      </c>
      <c r="BG6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82.817628641120464</v>
      </c>
      <c r="BH6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101.96553427020223</v>
      </c>
      <c r="BI6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105.72463230781335</v>
      </c>
      <c r="BJ6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107.42797360610592</v>
      </c>
      <c r="BK6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92.861468710362743</v>
      </c>
      <c r="BL6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65.196856589818239</v>
      </c>
      <c r="BM6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41.878701575261616</v>
      </c>
      <c r="BN6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19.382849256432451</v>
      </c>
      <c r="BO6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16.387318007711073</v>
      </c>
      <c r="BP680">
        <f>SUM(Таб[[#This Row],[1]:[12]])</f>
        <v>746.47464000000002</v>
      </c>
    </row>
    <row r="681" spans="2:68" ht="25.5">
      <c r="B681" t="s">
        <v>384</v>
      </c>
      <c r="C681" t="str">
        <f>IFERROR(VLOOKUP(Таб[[#This Row],[Зелений Тариф ЕЦ]],Sheet6!$H$9:$I$29,2,FALSE),"")</f>
        <v>Дах</v>
      </c>
      <c r="G681" s="1" t="s">
        <v>1685</v>
      </c>
      <c r="H681" t="s">
        <v>69</v>
      </c>
      <c r="J681" s="7">
        <v>0.252</v>
      </c>
      <c r="K681" s="8"/>
      <c r="L681" s="8">
        <v>43714</v>
      </c>
      <c r="M681">
        <v>9</v>
      </c>
      <c r="N681" s="49" t="s">
        <v>60</v>
      </c>
      <c r="O681">
        <v>2019</v>
      </c>
      <c r="P681">
        <v>0.16370000000000001</v>
      </c>
      <c r="Q681" s="10"/>
      <c r="R681" s="11">
        <f>ROUND(Таб[[#This Row],[Зелений Тариф ЕЦ]]+Таб[[#This Row],[Зелений Тариф ЕЦ]]*Таб[[#This Row],[% надбавки]],4)</f>
        <v>0.16370000000000001</v>
      </c>
      <c r="S681" s="12"/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BD6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8.1146204925643257</v>
      </c>
      <c r="BE6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13.99236612794083</v>
      </c>
      <c r="BF6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23.606168705641668</v>
      </c>
      <c r="BG6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33.553122857817293</v>
      </c>
      <c r="BH6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41.310795234872927</v>
      </c>
      <c r="BI6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42.833773861043355</v>
      </c>
      <c r="BJ6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43.523873551026824</v>
      </c>
      <c r="BK6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37.622331374616415</v>
      </c>
      <c r="BL6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26.414160547643405</v>
      </c>
      <c r="BM6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16.966933757179952</v>
      </c>
      <c r="BN6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7.8528585411912832</v>
      </c>
      <c r="BO6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6.6392349484617199</v>
      </c>
      <c r="BP681">
        <f>SUM(Таб[[#This Row],[1]:[12]])</f>
        <v>302.43023999999997</v>
      </c>
    </row>
    <row r="682" spans="2:68" ht="38.25">
      <c r="B682" t="s">
        <v>384</v>
      </c>
      <c r="C682" t="str">
        <f>IFERROR(VLOOKUP(Таб[[#This Row],[Зелений Тариф ЕЦ]],Sheet6!$H$9:$I$29,2,FALSE),"")</f>
        <v>Земля</v>
      </c>
      <c r="G682" s="1" t="s">
        <v>1687</v>
      </c>
      <c r="H682" t="s">
        <v>98</v>
      </c>
      <c r="J682" s="7">
        <v>1.7949999999999999</v>
      </c>
      <c r="K682" s="8"/>
      <c r="L682" s="8">
        <v>43655</v>
      </c>
      <c r="M682">
        <v>7</v>
      </c>
      <c r="N682" s="49" t="s">
        <v>60</v>
      </c>
      <c r="O682">
        <v>2019</v>
      </c>
      <c r="P682">
        <v>0.15029999999999999</v>
      </c>
      <c r="Q682" s="10"/>
      <c r="R682" s="11">
        <f>ROUND(Таб[[#This Row],[Зелений Тариф ЕЦ]]+Таб[[#This Row],[Зелений Тариф ЕЦ]]*Таб[[#This Row],[% надбавки]],4)</f>
        <v>0.15029999999999999</v>
      </c>
      <c r="S682" s="12"/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0.214</v>
      </c>
      <c r="BD6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57.800570572035582</v>
      </c>
      <c r="BE6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99.667846030372175</v>
      </c>
      <c r="BF6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168.14711439137619</v>
      </c>
      <c r="BG6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238.99942670548427</v>
      </c>
      <c r="BH6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294.25745018490829</v>
      </c>
      <c r="BI6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305.10565111338423</v>
      </c>
      <c r="BJ6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310.02124215909987</v>
      </c>
      <c r="BK6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267.98446356125578</v>
      </c>
      <c r="BL6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188.14848485325362</v>
      </c>
      <c r="BM6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120.85573846880162</v>
      </c>
      <c r="BN6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55.936036037453775</v>
      </c>
      <c r="BO6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47.291375922574552</v>
      </c>
      <c r="BP682">
        <f>SUM(Таб[[#This Row],[1]:[12]])</f>
        <v>2154.2154</v>
      </c>
    </row>
    <row r="683" spans="2:68" ht="38.25">
      <c r="B683" t="s">
        <v>384</v>
      </c>
      <c r="C683" t="str">
        <f>IFERROR(VLOOKUP(Таб[[#This Row],[Зелений Тариф ЕЦ]],Sheet6!$H$9:$I$29,2,FALSE),"")</f>
        <v>Земля</v>
      </c>
      <c r="G683" s="1" t="s">
        <v>1690</v>
      </c>
      <c r="H683" t="s">
        <v>233</v>
      </c>
      <c r="I683" t="s">
        <v>404</v>
      </c>
      <c r="J683" s="7">
        <v>6.0190000000000001</v>
      </c>
      <c r="K683" s="8"/>
      <c r="L683" s="8">
        <v>43655</v>
      </c>
      <c r="M683">
        <v>7</v>
      </c>
      <c r="N683" s="49" t="s">
        <v>60</v>
      </c>
      <c r="O683">
        <v>2019</v>
      </c>
      <c r="P683">
        <v>0.15029999999999999</v>
      </c>
      <c r="Q683" s="10"/>
      <c r="R683" s="11">
        <f>ROUND(Таб[[#This Row],[Зелений Тариф ЕЦ]]+Таб[[#This Row],[Зелений Тариф ЕЦ]]*Таб[[#This Row],[% надбавки]],4)</f>
        <v>0.15029999999999999</v>
      </c>
      <c r="S683" s="12"/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BD6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193.8170664473995</v>
      </c>
      <c r="BE6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334.20655446061846</v>
      </c>
      <c r="BF6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563.83146602879856</v>
      </c>
      <c r="BG6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801.41367651270764</v>
      </c>
      <c r="BH6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986.70506555039719</v>
      </c>
      <c r="BI6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1023.0812891651586</v>
      </c>
      <c r="BJ6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1039.5642654905973</v>
      </c>
      <c r="BK6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898.60639898339764</v>
      </c>
      <c r="BL6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630.90012831851448</v>
      </c>
      <c r="BM6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405.25386620819893</v>
      </c>
      <c r="BN6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187.56490301361245</v>
      </c>
      <c r="BO6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158.5775998205996</v>
      </c>
      <c r="BP683">
        <f>SUM(Таб[[#This Row],[1]:[12]])</f>
        <v>7223.522280000001</v>
      </c>
    </row>
    <row r="684" spans="2:68" ht="38.25">
      <c r="B684" t="s">
        <v>384</v>
      </c>
      <c r="C684" t="str">
        <f>IFERROR(VLOOKUP(Таб[[#This Row],[Зелений Тариф ЕЦ]],Sheet6!$H$9:$I$29,2,FALSE),"")</f>
        <v>Земля</v>
      </c>
      <c r="G684" s="1" t="s">
        <v>1694</v>
      </c>
      <c r="H684" t="s">
        <v>163</v>
      </c>
      <c r="J684" s="7">
        <v>1.9159999999999999</v>
      </c>
      <c r="K684" s="8"/>
      <c r="L684" s="8">
        <v>43655</v>
      </c>
      <c r="M684">
        <v>7</v>
      </c>
      <c r="N684" s="49" t="s">
        <v>60</v>
      </c>
      <c r="O684">
        <v>2019</v>
      </c>
      <c r="P684">
        <v>0.15029999999999999</v>
      </c>
      <c r="Q684" s="10"/>
      <c r="R684" s="11">
        <f>ROUND(Таб[[#This Row],[Зелений Тариф ЕЦ]]+Таб[[#This Row],[Зелений Тариф ЕЦ]]*Таб[[#This Row],[% надбавки]],4)</f>
        <v>0.15029999999999999</v>
      </c>
      <c r="S684" s="12"/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0.22</v>
      </c>
      <c r="BD6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61.696876443465264</v>
      </c>
      <c r="BE6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106.38640278228029</v>
      </c>
      <c r="BF6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179.48182238098985</v>
      </c>
      <c r="BG6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255.11025156975373</v>
      </c>
      <c r="BH6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314.09318916673226</v>
      </c>
      <c r="BI6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325.67266157840902</v>
      </c>
      <c r="BJ6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330.91961001495002</v>
      </c>
      <c r="BK6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286.04915441970257</v>
      </c>
      <c r="BL6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200.83147464001891</v>
      </c>
      <c r="BM6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129.00255983633645</v>
      </c>
      <c r="BN6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59.706654622708321</v>
      </c>
      <c r="BO6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50.479262544653395</v>
      </c>
      <c r="BP684">
        <f>SUM(Таб[[#This Row],[1]:[12]])</f>
        <v>2299.42992</v>
      </c>
    </row>
    <row r="685" spans="2:68" ht="38.25">
      <c r="B685" t="s">
        <v>384</v>
      </c>
      <c r="C685" t="str">
        <f>IFERROR(VLOOKUP(Таб[[#This Row],[Зелений Тариф ЕЦ]],Sheet6!$H$9:$I$29,2,FALSE),"")</f>
        <v>Дах</v>
      </c>
      <c r="G685" s="1" t="s">
        <v>1698</v>
      </c>
      <c r="H685" t="s">
        <v>163</v>
      </c>
      <c r="J685" s="7">
        <v>1.054</v>
      </c>
      <c r="K685" s="8"/>
      <c r="L685" s="8">
        <v>43655</v>
      </c>
      <c r="M685">
        <v>7</v>
      </c>
      <c r="N685" s="49" t="s">
        <v>60</v>
      </c>
      <c r="O685">
        <v>2019</v>
      </c>
      <c r="P685">
        <v>0.16370000000000001</v>
      </c>
      <c r="Q685" s="10"/>
      <c r="R685" s="11">
        <f>ROUND(Таб[[#This Row],[Зелений Тариф ЕЦ]]+Таб[[#This Row],[Зелений Тариф ЕЦ]]*Таб[[#This Row],[% надбавки]],4)</f>
        <v>0.16370000000000001</v>
      </c>
      <c r="S685" s="12"/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4.2000000000000003E-2</v>
      </c>
      <c r="AY685">
        <v>0.14099999999999999</v>
      </c>
      <c r="BD6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33.939722218900002</v>
      </c>
      <c r="BE6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58.523626582736647</v>
      </c>
      <c r="BF6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98.733737364072709</v>
      </c>
      <c r="BG6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140.33726782595011</v>
      </c>
      <c r="BH6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172.78404038712722</v>
      </c>
      <c r="BI6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179.15395892674485</v>
      </c>
      <c r="BJ6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182.04032826500907</v>
      </c>
      <c r="BK6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157.3568939239909</v>
      </c>
      <c r="BL6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110.47827467149266</v>
      </c>
      <c r="BM6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70.964873730427257</v>
      </c>
      <c r="BN6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32.844892469903222</v>
      </c>
      <c r="BO6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27.768863633645452</v>
      </c>
      <c r="BP685">
        <f>SUM(Таб[[#This Row],[1]:[12]])</f>
        <v>1264.9264800000003</v>
      </c>
    </row>
    <row r="686" spans="2:68" ht="25.5">
      <c r="B686" t="s">
        <v>384</v>
      </c>
      <c r="C686" t="str">
        <f>IFERROR(VLOOKUP(Таб[[#This Row],[Зелений Тариф ЕЦ]],Sheet6!$H$9:$I$29,2,FALSE),"")</f>
        <v>Дах</v>
      </c>
      <c r="G686" s="1" t="s">
        <v>1700</v>
      </c>
      <c r="H686" t="s">
        <v>62</v>
      </c>
      <c r="J686" s="7">
        <v>0.58599999999999997</v>
      </c>
      <c r="K686" s="8"/>
      <c r="L686" s="8">
        <v>43655</v>
      </c>
      <c r="M686">
        <v>7</v>
      </c>
      <c r="N686" s="49" t="s">
        <v>60</v>
      </c>
      <c r="O686">
        <v>2019</v>
      </c>
      <c r="P686">
        <v>0.16370000000000001</v>
      </c>
      <c r="Q686" s="10"/>
      <c r="R686" s="11">
        <f>ROUND(Таб[[#This Row],[Зелений Тариф ЕЦ]]+Таб[[#This Row],[Зелений Тариф ЕЦ]]*Таб[[#This Row],[% надбавки]],4)</f>
        <v>0.16370000000000001</v>
      </c>
      <c r="S686" s="12"/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BD6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18.869712732709107</v>
      </c>
      <c r="BE6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32.537803773703672</v>
      </c>
      <c r="BF6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54.89370976788102</v>
      </c>
      <c r="BG6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78.024325375717993</v>
      </c>
      <c r="BH6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96.063992093791796</v>
      </c>
      <c r="BI6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99.605521756235731</v>
      </c>
      <c r="BJ6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101.21027738453066</v>
      </c>
      <c r="BK6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87.486849942560397</v>
      </c>
      <c r="BL6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61.423405083012042</v>
      </c>
      <c r="BM6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39.454853895664485</v>
      </c>
      <c r="BN6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18.261012321976551</v>
      </c>
      <c r="BO6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15.438855872216539</v>
      </c>
      <c r="BP686">
        <f>SUM(Таб[[#This Row],[1]:[12]])</f>
        <v>703.27031999999997</v>
      </c>
    </row>
    <row r="687" spans="2:68" ht="38.25">
      <c r="B687" t="s">
        <v>384</v>
      </c>
      <c r="C687" t="str">
        <f>IFERROR(VLOOKUP(Таб[[#This Row],[Зелений Тариф ЕЦ]],Sheet6!$H$9:$I$29,2,FALSE),"")</f>
        <v>Земля</v>
      </c>
      <c r="D687" t="s">
        <v>3405</v>
      </c>
      <c r="F687" t="s">
        <v>3287</v>
      </c>
      <c r="G687" s="1" t="s">
        <v>1702</v>
      </c>
      <c r="H687" t="s">
        <v>172</v>
      </c>
      <c r="J687" s="7">
        <v>14.298999999999999</v>
      </c>
      <c r="K687" s="8"/>
      <c r="L687" s="8">
        <v>43664</v>
      </c>
      <c r="M687">
        <v>7</v>
      </c>
      <c r="N687" s="49" t="s">
        <v>60</v>
      </c>
      <c r="O687">
        <v>2019</v>
      </c>
      <c r="P687">
        <v>0.15029999999999999</v>
      </c>
      <c r="Q687" s="10">
        <v>0.05</v>
      </c>
      <c r="R687" s="11">
        <f>ROUND(Таб[[#This Row],[Зелений Тариф ЕЦ]]+Таб[[#This Row],[Зелений Тариф ЕЦ]]*Таб[[#This Row],[% надбавки]],4)</f>
        <v>0.1578</v>
      </c>
      <c r="S687" s="12">
        <v>43664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1.79</v>
      </c>
      <c r="BD6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460.44031120308443</v>
      </c>
      <c r="BE6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793.95572723581722</v>
      </c>
      <c r="BF6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1339.4627234998818</v>
      </c>
      <c r="BG6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1903.8734275552756</v>
      </c>
      <c r="BH6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2344.0597661247934</v>
      </c>
      <c r="BI6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2430.4767160280117</v>
      </c>
      <c r="BJ6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2469.6343964529074</v>
      </c>
      <c r="BK6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2134.7687155779367</v>
      </c>
      <c r="BL6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1498.7939748839408</v>
      </c>
      <c r="BM6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962.73883251554025</v>
      </c>
      <c r="BN6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445.58739793846883</v>
      </c>
      <c r="BO6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376.72389098434184</v>
      </c>
      <c r="BP687">
        <f>SUM(Таб[[#This Row],[1]:[12]])</f>
        <v>17160.515880000006</v>
      </c>
    </row>
    <row r="688" spans="2:68" ht="38.25">
      <c r="B688" t="s">
        <v>384</v>
      </c>
      <c r="C688" t="str">
        <f>IFERROR(VLOOKUP(Таб[[#This Row],[Зелений Тариф ЕЦ]],Sheet6!$H$9:$I$29,2,FALSE),"")</f>
        <v>Земля</v>
      </c>
      <c r="G688" s="1" t="s">
        <v>1705</v>
      </c>
      <c r="H688" t="s">
        <v>198</v>
      </c>
      <c r="J688" s="7">
        <v>0.45700000000000002</v>
      </c>
      <c r="K688" s="8"/>
      <c r="L688" s="8">
        <v>43664</v>
      </c>
      <c r="M688">
        <v>7</v>
      </c>
      <c r="N688" s="49" t="s">
        <v>60</v>
      </c>
      <c r="O688">
        <v>2019</v>
      </c>
      <c r="P688">
        <v>0.15029999999999999</v>
      </c>
      <c r="Q688" s="10"/>
      <c r="R688" s="11">
        <f>ROUND(Таб[[#This Row],[Зелений Тариф ЕЦ]]+Таб[[#This Row],[Зелений Тариф ЕЦ]]*Таб[[#This Row],[% надбавки]],4)</f>
        <v>0.15029999999999999</v>
      </c>
      <c r="S688" s="12"/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BD6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14.715799861515464</v>
      </c>
      <c r="BE6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25.375044922495874</v>
      </c>
      <c r="BF6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42.809599597135893</v>
      </c>
      <c r="BG6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60.848322008025818</v>
      </c>
      <c r="BH6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74.916799294987811</v>
      </c>
      <c r="BI6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77.678708946415924</v>
      </c>
      <c r="BJ6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78.9301992572193</v>
      </c>
      <c r="BK6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68.227799357935325</v>
      </c>
      <c r="BL6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47.901870516956492</v>
      </c>
      <c r="BM6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30.769399710441419</v>
      </c>
      <c r="BN6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14.241096640176256</v>
      </c>
      <c r="BO6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12.04019988669447</v>
      </c>
      <c r="BP688">
        <f>SUM(Таб[[#This Row],[1]:[12]])</f>
        <v>548.4548400000001</v>
      </c>
    </row>
    <row r="689" spans="2:68" ht="38.25">
      <c r="B689" t="s">
        <v>384</v>
      </c>
      <c r="C689" t="str">
        <f>IFERROR(VLOOKUP(Таб[[#This Row],[Зелений Тариф ЕЦ]],Sheet6!$H$9:$I$29,2,FALSE),"")</f>
        <v>Земля</v>
      </c>
      <c r="G689" s="1" t="s">
        <v>1708</v>
      </c>
      <c r="H689" t="s">
        <v>198</v>
      </c>
      <c r="J689" s="7">
        <v>0.45900000000000002</v>
      </c>
      <c r="K689" s="8"/>
      <c r="L689" s="8">
        <v>43664</v>
      </c>
      <c r="M689">
        <v>7</v>
      </c>
      <c r="N689" s="49" t="s">
        <v>60</v>
      </c>
      <c r="O689">
        <v>2019</v>
      </c>
      <c r="P689">
        <v>0.15029999999999999</v>
      </c>
      <c r="Q689" s="10"/>
      <c r="R689" s="11">
        <f>ROUND(Таб[[#This Row],[Зелений Тариф ЕЦ]]+Таб[[#This Row],[Зелений Тариф ЕЦ]]*Таб[[#This Row],[% надбавки]],4)</f>
        <v>0.15029999999999999</v>
      </c>
      <c r="S689" s="12"/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BD6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14.78020161145645</v>
      </c>
      <c r="BE6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25.4860954473208</v>
      </c>
      <c r="BF6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42.996950142418761</v>
      </c>
      <c r="BG6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61.114616633881511</v>
      </c>
      <c r="BH6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75.24466274923283</v>
      </c>
      <c r="BI6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78.018659532614691</v>
      </c>
      <c r="BJ6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79.275626825084601</v>
      </c>
      <c r="BK6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68.526389289479908</v>
      </c>
      <c r="BL6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48.111506711779057</v>
      </c>
      <c r="BM6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30.904057914863483</v>
      </c>
      <c r="BN6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14.303420914312692</v>
      </c>
      <c r="BO6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12.092892227555279</v>
      </c>
      <c r="BP689">
        <f>SUM(Таб[[#This Row],[1]:[12]])</f>
        <v>550.85508000000004</v>
      </c>
    </row>
    <row r="690" spans="2:68" ht="38.25">
      <c r="B690" t="s">
        <v>384</v>
      </c>
      <c r="C690" t="str">
        <f>IFERROR(VLOOKUP(Таб[[#This Row],[Зелений Тариф ЕЦ]],Sheet6!$H$9:$I$29,2,FALSE),"")</f>
        <v>Земля</v>
      </c>
      <c r="G690" s="1" t="s">
        <v>1711</v>
      </c>
      <c r="H690" t="s">
        <v>141</v>
      </c>
      <c r="J690" s="7">
        <v>0.60499999999999998</v>
      </c>
      <c r="K690" s="8"/>
      <c r="L690" s="8">
        <v>43664</v>
      </c>
      <c r="M690">
        <v>7</v>
      </c>
      <c r="N690" s="49" t="s">
        <v>60</v>
      </c>
      <c r="O690">
        <v>2019</v>
      </c>
      <c r="P690">
        <v>0.15029999999999999</v>
      </c>
      <c r="Q690" s="10"/>
      <c r="R690" s="11">
        <f>ROUND(Таб[[#This Row],[Зелений Тариф ЕЦ]]+Таб[[#This Row],[Зелений Тариф ЕЦ]]*Таб[[#This Row],[% надбавки]],4)</f>
        <v>0.15029999999999999</v>
      </c>
      <c r="S690" s="12"/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4.3999999999999997E-2</v>
      </c>
      <c r="BD6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19.481529357148482</v>
      </c>
      <c r="BE6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33.592783759540481</v>
      </c>
      <c r="BF6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56.673539948068289</v>
      </c>
      <c r="BG6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80.554124321347075</v>
      </c>
      <c r="BH6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99.1786949091195</v>
      </c>
      <c r="BI6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102.83505232512394</v>
      </c>
      <c r="BJ6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104.49183927925093</v>
      </c>
      <c r="BK6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90.323454292233848</v>
      </c>
      <c r="BL6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63.414948933826423</v>
      </c>
      <c r="BM6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40.734106837674091</v>
      </c>
      <c r="BN6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18.853092926272723</v>
      </c>
      <c r="BO6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15.939433110394209</v>
      </c>
      <c r="BP690">
        <f>SUM(Таб[[#This Row],[1]:[12]])</f>
        <v>726.07259999999997</v>
      </c>
    </row>
    <row r="691" spans="2:68" ht="38.25">
      <c r="B691" t="s">
        <v>384</v>
      </c>
      <c r="C691" t="str">
        <f>IFERROR(VLOOKUP(Таб[[#This Row],[Зелений Тариф ЕЦ]],Sheet6!$H$9:$I$29,2,FALSE),"")</f>
        <v>Земля</v>
      </c>
      <c r="G691" s="1" t="s">
        <v>1714</v>
      </c>
      <c r="H691" t="s">
        <v>98</v>
      </c>
      <c r="J691" s="7">
        <v>9.9489999999999998</v>
      </c>
      <c r="K691" s="8"/>
      <c r="L691" s="8">
        <v>43664</v>
      </c>
      <c r="M691">
        <v>7</v>
      </c>
      <c r="N691" s="49" t="s">
        <v>60</v>
      </c>
      <c r="O691">
        <v>2019</v>
      </c>
      <c r="P691">
        <v>0.15029999999999999</v>
      </c>
      <c r="Q691" s="10"/>
      <c r="R691" s="11">
        <f>ROUND(Таб[[#This Row],[Зелений Тариф ЕЦ]]+Таб[[#This Row],[Зелений Тариф ЕЦ]]*Таб[[#This Row],[% надбавки]],4)</f>
        <v>0.15029999999999999</v>
      </c>
      <c r="S691" s="12"/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4.5999999999999999E-2</v>
      </c>
      <c r="BD6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320.36650508143839</v>
      </c>
      <c r="BE6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552.4208357416004</v>
      </c>
      <c r="BF6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931.97528750963875</v>
      </c>
      <c r="BG6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1324.6826163191438</v>
      </c>
      <c r="BH6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1630.9567531418679</v>
      </c>
      <c r="BI6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1691.0841910457157</v>
      </c>
      <c r="BJ6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1718.3294363458967</v>
      </c>
      <c r="BK6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1485.3356144684869</v>
      </c>
      <c r="BL6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1042.8352511448579</v>
      </c>
      <c r="BM6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669.85723789755275</v>
      </c>
      <c r="BN6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310.03210169171456</v>
      </c>
      <c r="BO6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262.11804961208588</v>
      </c>
      <c r="BP691">
        <f>SUM(Таб[[#This Row],[1]:[12]])</f>
        <v>11939.99388</v>
      </c>
    </row>
    <row r="692" spans="2:68" ht="38.25">
      <c r="B692" t="s">
        <v>384</v>
      </c>
      <c r="C692" t="str">
        <f>IFERROR(VLOOKUP(Таб[[#This Row],[Зелений Тариф ЕЦ]],Sheet6!$H$9:$I$29,2,FALSE),"")</f>
        <v>Земля</v>
      </c>
      <c r="G692" s="1" t="s">
        <v>1714</v>
      </c>
      <c r="H692" t="s">
        <v>98</v>
      </c>
      <c r="J692" s="7">
        <v>9.9489999999999998</v>
      </c>
      <c r="K692" s="8"/>
      <c r="L692" s="8">
        <v>43664</v>
      </c>
      <c r="M692">
        <v>7</v>
      </c>
      <c r="N692" s="49" t="s">
        <v>60</v>
      </c>
      <c r="O692">
        <v>2019</v>
      </c>
      <c r="P692">
        <v>0.15029999999999999</v>
      </c>
      <c r="Q692" s="10"/>
      <c r="R692" s="11">
        <f>ROUND(Таб[[#This Row],[Зелений Тариф ЕЦ]]+Таб[[#This Row],[Зелений Тариф ЕЦ]]*Таб[[#This Row],[% надбавки]],4)</f>
        <v>0.15029999999999999</v>
      </c>
      <c r="S692" s="12"/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BD6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320.36650508143839</v>
      </c>
      <c r="BE6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552.4208357416004</v>
      </c>
      <c r="BF6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931.97528750963875</v>
      </c>
      <c r="BG6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1324.6826163191438</v>
      </c>
      <c r="BH6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1630.9567531418679</v>
      </c>
      <c r="BI6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1691.0841910457157</v>
      </c>
      <c r="BJ6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1718.3294363458967</v>
      </c>
      <c r="BK6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1485.3356144684869</v>
      </c>
      <c r="BL6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1042.8352511448579</v>
      </c>
      <c r="BM6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669.85723789755275</v>
      </c>
      <c r="BN6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310.03210169171456</v>
      </c>
      <c r="BO6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262.11804961208588</v>
      </c>
      <c r="BP692">
        <f>SUM(Таб[[#This Row],[1]:[12]])</f>
        <v>11939.99388</v>
      </c>
    </row>
    <row r="693" spans="2:68" ht="38.25">
      <c r="B693" t="s">
        <v>384</v>
      </c>
      <c r="C693" t="str">
        <f>IFERROR(VLOOKUP(Таб[[#This Row],[Зелений Тариф ЕЦ]],Sheet6!$H$9:$I$29,2,FALSE),"")</f>
        <v>Земля</v>
      </c>
      <c r="D693" t="s">
        <v>3380</v>
      </c>
      <c r="E693" t="s">
        <v>3380</v>
      </c>
      <c r="F693" t="s">
        <v>3287</v>
      </c>
      <c r="G693" s="1" t="s">
        <v>1719</v>
      </c>
      <c r="H693" t="s">
        <v>101</v>
      </c>
      <c r="J693" s="7">
        <v>8.6110000000000007</v>
      </c>
      <c r="K693" s="8"/>
      <c r="L693" s="8">
        <v>43664</v>
      </c>
      <c r="M693">
        <v>7</v>
      </c>
      <c r="N693" s="49" t="s">
        <v>60</v>
      </c>
      <c r="O693">
        <v>2019</v>
      </c>
      <c r="P693">
        <v>0.15029999999999999</v>
      </c>
      <c r="Q693" s="10"/>
      <c r="R693" s="11">
        <f>ROUND(Таб[[#This Row],[Зелений Тариф ЕЦ]]+Таб[[#This Row],[Зелений Тариф ЕЦ]]*Таб[[#This Row],[% надбавки]],4)</f>
        <v>0.15029999999999999</v>
      </c>
      <c r="S693" s="12"/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BD6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277.28173437091834</v>
      </c>
      <c r="BE6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478.12803463372416</v>
      </c>
      <c r="BF6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806.63777271539857</v>
      </c>
      <c r="BG6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1146.5315116216855</v>
      </c>
      <c r="BH6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1411.6161022519473</v>
      </c>
      <c r="BI6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1463.6572488787474</v>
      </c>
      <c r="BJ6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1487.2383934440163</v>
      </c>
      <c r="BK6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1285.5789502651664</v>
      </c>
      <c r="BL6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902.58863680856109</v>
      </c>
      <c r="BM6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579.77089913919269</v>
      </c>
      <c r="BN6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268.33716229443706</v>
      </c>
      <c r="BO6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226.86687357620585</v>
      </c>
      <c r="BP693">
        <f>SUM(Таб[[#This Row],[1]:[12]])</f>
        <v>10334.233320000001</v>
      </c>
    </row>
    <row r="694" spans="2:68" ht="38.25">
      <c r="B694" t="s">
        <v>384</v>
      </c>
      <c r="C694" t="str">
        <f>IFERROR(VLOOKUP(Таб[[#This Row],[Зелений Тариф ЕЦ]],Sheet6!$H$9:$I$29,2,FALSE),"")</f>
        <v>Земля</v>
      </c>
      <c r="G694" s="1" t="s">
        <v>1721</v>
      </c>
      <c r="H694" t="s">
        <v>198</v>
      </c>
      <c r="J694" s="7">
        <v>2.7970000000000002</v>
      </c>
      <c r="K694" s="8"/>
      <c r="L694" s="8">
        <v>43664</v>
      </c>
      <c r="M694">
        <v>7</v>
      </c>
      <c r="N694" s="49" t="s">
        <v>60</v>
      </c>
      <c r="O694">
        <v>2019</v>
      </c>
      <c r="P694">
        <v>0.15029999999999999</v>
      </c>
      <c r="Q694" s="10"/>
      <c r="R694" s="11">
        <f>ROUND(Таб[[#This Row],[Зелений Тариф ЕЦ]]+Таб[[#This Row],[Зелений Тариф ЕЦ]]*Таб[[#This Row],[% надбавки]],4)</f>
        <v>0.15029999999999999</v>
      </c>
      <c r="S694" s="12"/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BD6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90.065847292469925</v>
      </c>
      <c r="BE6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155.30415896766073</v>
      </c>
      <c r="BF6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262.0097375780943</v>
      </c>
      <c r="BG6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372.41303425918642</v>
      </c>
      <c r="BH6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458.51704076166504</v>
      </c>
      <c r="BI6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475.4208947989614</v>
      </c>
      <c r="BJ6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483.08045365961135</v>
      </c>
      <c r="BK6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417.57801926508779</v>
      </c>
      <c r="BL6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293.17621845935957</v>
      </c>
      <c r="BM6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188.31949888425524</v>
      </c>
      <c r="BN6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87.160497379809598</v>
      </c>
      <c r="BO6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73.690238693839021</v>
      </c>
      <c r="BP694">
        <f>SUM(Таб[[#This Row],[1]:[12]])</f>
        <v>3356.7356400000003</v>
      </c>
    </row>
    <row r="695" spans="2:68" ht="38.25">
      <c r="B695" t="s">
        <v>384</v>
      </c>
      <c r="C695" t="str">
        <f>IFERROR(VLOOKUP(Таб[[#This Row],[Зелений Тариф ЕЦ]],Sheet6!$H$9:$I$29,2,FALSE),"")</f>
        <v>Дах</v>
      </c>
      <c r="G695" s="1" t="s">
        <v>1724</v>
      </c>
      <c r="H695" t="s">
        <v>98</v>
      </c>
      <c r="J695" s="7">
        <v>0.21099999999999999</v>
      </c>
      <c r="K695" s="8"/>
      <c r="L695" s="8">
        <v>43664</v>
      </c>
      <c r="M695">
        <v>7</v>
      </c>
      <c r="N695" s="49" t="s">
        <v>60</v>
      </c>
      <c r="O695">
        <v>2019</v>
      </c>
      <c r="P695">
        <v>0.16370000000000001</v>
      </c>
      <c r="Q695" s="10"/>
      <c r="R695" s="11">
        <f>ROUND(Таб[[#This Row],[Зелений Тариф ЕЦ]]+Таб[[#This Row],[Зелений Тариф ЕЦ]]*Таб[[#This Row],[% надбавки]],4)</f>
        <v>0.16370000000000001</v>
      </c>
      <c r="S695" s="12"/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1.6E-2</v>
      </c>
      <c r="BD6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6.7943846187740977</v>
      </c>
      <c r="BE6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11.715830369029822</v>
      </c>
      <c r="BF6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19.765482527342826</v>
      </c>
      <c r="BG6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28.094083027775593</v>
      </c>
      <c r="BH6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34.589594422849949</v>
      </c>
      <c r="BI6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35.864786843968844</v>
      </c>
      <c r="BJ6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36.442608409788335</v>
      </c>
      <c r="BK6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31.501237777952632</v>
      </c>
      <c r="BL6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22.116618553780789</v>
      </c>
      <c r="BM6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14.206440566527657</v>
      </c>
      <c r="BN6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6.5752109213942882</v>
      </c>
      <c r="BO6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5.5590419608151702</v>
      </c>
      <c r="BP695">
        <f>SUM(Таб[[#This Row],[1]:[12]])</f>
        <v>253.22532000000004</v>
      </c>
    </row>
    <row r="696" spans="2:68" ht="38.25">
      <c r="B696" t="s">
        <v>384</v>
      </c>
      <c r="C696" t="str">
        <f>IFERROR(VLOOKUP(Таб[[#This Row],[Зелений Тариф ЕЦ]],Sheet6!$H$9:$I$29,2,FALSE),"")</f>
        <v>Дах</v>
      </c>
      <c r="G696" s="1" t="s">
        <v>1726</v>
      </c>
      <c r="H696" t="s">
        <v>136</v>
      </c>
      <c r="J696" s="7">
        <v>1.03</v>
      </c>
      <c r="K696" s="8"/>
      <c r="L696" s="8">
        <v>43664</v>
      </c>
      <c r="M696">
        <v>7</v>
      </c>
      <c r="N696" s="49" t="s">
        <v>60</v>
      </c>
      <c r="O696">
        <v>2019</v>
      </c>
      <c r="P696">
        <v>0.16370000000000001</v>
      </c>
      <c r="Q696" s="10"/>
      <c r="R696" s="11">
        <f>ROUND(Таб[[#This Row],[Зелений Тариф ЕЦ]]+Таб[[#This Row],[Зелений Тариф ЕЦ]]*Таб[[#This Row],[% надбавки]],4)</f>
        <v>0.16370000000000001</v>
      </c>
      <c r="S696" s="12"/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BD6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33.166901219608157</v>
      </c>
      <c r="BE6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57.191020284837521</v>
      </c>
      <c r="BF6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96.485530820678264</v>
      </c>
      <c r="BG6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137.14173231568179</v>
      </c>
      <c r="BH6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168.84967893618696</v>
      </c>
      <c r="BI6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175.07455189235975</v>
      </c>
      <c r="BJ6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177.89519745062552</v>
      </c>
      <c r="BK6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153.77381474545598</v>
      </c>
      <c r="BL6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107.96264033362186</v>
      </c>
      <c r="BM6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69.348975277362499</v>
      </c>
      <c r="BN6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32.097001180265963</v>
      </c>
      <c r="BO6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27.136555543315762</v>
      </c>
      <c r="BP696">
        <f>SUM(Таб[[#This Row],[1]:[12]])</f>
        <v>1236.1236000000001</v>
      </c>
    </row>
    <row r="697" spans="2:68" ht="25.5">
      <c r="B697" t="s">
        <v>384</v>
      </c>
      <c r="C697" t="str">
        <f>IFERROR(VLOOKUP(Таб[[#This Row],[Зелений Тариф ЕЦ]],Sheet6!$H$9:$I$29,2,FALSE),"")</f>
        <v>Дах</v>
      </c>
      <c r="G697" s="1" t="s">
        <v>1729</v>
      </c>
      <c r="H697" t="s">
        <v>1465</v>
      </c>
      <c r="J697" s="7">
        <v>0.223</v>
      </c>
      <c r="K697" s="8"/>
      <c r="L697" s="8">
        <v>43664</v>
      </c>
      <c r="M697">
        <v>7</v>
      </c>
      <c r="N697" s="49" t="s">
        <v>60</v>
      </c>
      <c r="O697">
        <v>2019</v>
      </c>
      <c r="P697">
        <v>0.16370000000000001</v>
      </c>
      <c r="Q697" s="10"/>
      <c r="R697" s="11">
        <f>ROUND(Таб[[#This Row],[Зелений Тариф ЕЦ]]+Таб[[#This Row],[Зелений Тариф ЕЦ]]*Таб[[#This Row],[% надбавки]],4)</f>
        <v>0.16370000000000001</v>
      </c>
      <c r="S697" s="12"/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BD6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7.1807951184200185</v>
      </c>
      <c r="BE6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12.382133517979385</v>
      </c>
      <c r="BF6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20.889585799040049</v>
      </c>
      <c r="BG6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29.69185078290975</v>
      </c>
      <c r="BH6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36.556775148320085</v>
      </c>
      <c r="BI6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37.904490361161379</v>
      </c>
      <c r="BJ6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38.515173816980095</v>
      </c>
      <c r="BK6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33.292777367220083</v>
      </c>
      <c r="BL6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23.374435722716186</v>
      </c>
      <c r="BM6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15.014389793060037</v>
      </c>
      <c r="BN6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6.9491565662129222</v>
      </c>
      <c r="BO6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5.8751960059800146</v>
      </c>
      <c r="BP697">
        <f>SUM(Таб[[#This Row],[1]:[12]])</f>
        <v>267.62675999999999</v>
      </c>
    </row>
    <row r="698" spans="2:68" ht="63.75">
      <c r="B698" t="s">
        <v>384</v>
      </c>
      <c r="C698" t="str">
        <f>IFERROR(VLOOKUP(Таб[[#This Row],[Зелений Тариф ЕЦ]],Sheet6!$H$9:$I$29,2,FALSE),"")</f>
        <v>Земля</v>
      </c>
      <c r="E698" t="s">
        <v>3412</v>
      </c>
      <c r="G698" s="1" t="s">
        <v>1731</v>
      </c>
      <c r="H698" t="s">
        <v>101</v>
      </c>
      <c r="J698" s="7">
        <v>12.545</v>
      </c>
      <c r="K698" s="8"/>
      <c r="L698" s="8">
        <v>43671</v>
      </c>
      <c r="M698">
        <v>7</v>
      </c>
      <c r="N698" s="49" t="s">
        <v>60</v>
      </c>
      <c r="O698">
        <v>2019</v>
      </c>
      <c r="P698">
        <v>0.15029999999999999</v>
      </c>
      <c r="Q698" s="10"/>
      <c r="R698" s="11">
        <f>ROUND(Таб[[#This Row],[Зелений Тариф ЕЦ]]+Таб[[#This Row],[Зелений Тариф ЕЦ]]*Таб[[#This Row],[% надбавки]],4)</f>
        <v>0.15029999999999999</v>
      </c>
      <c r="S698" s="12"/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BD6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403.95997650483912</v>
      </c>
      <c r="BE6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696.56441696435593</v>
      </c>
      <c r="BF6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1175.1562952868044</v>
      </c>
      <c r="BG6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1670.3330406798332</v>
      </c>
      <c r="BH6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2056.5235167519081</v>
      </c>
      <c r="BI6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2132.340051931702</v>
      </c>
      <c r="BJ6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2166.6944194350463</v>
      </c>
      <c r="BK6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1872.9053456133447</v>
      </c>
      <c r="BL6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1314.9430320245497</v>
      </c>
      <c r="BM6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844.64358723739076</v>
      </c>
      <c r="BN6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390.92900952081209</v>
      </c>
      <c r="BO6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330.51270804941385</v>
      </c>
      <c r="BP698">
        <f>SUM(Таб[[#This Row],[1]:[12]])</f>
        <v>15055.5054</v>
      </c>
    </row>
    <row r="699" spans="2:68" ht="63.75">
      <c r="B699" t="s">
        <v>384</v>
      </c>
      <c r="C699" t="str">
        <f>IFERROR(VLOOKUP(Таб[[#This Row],[Зелений Тариф ЕЦ]],Sheet6!$H$9:$I$29,2,FALSE),"")</f>
        <v>Земля</v>
      </c>
      <c r="E699" t="s">
        <v>3412</v>
      </c>
      <c r="G699" s="1" t="s">
        <v>1733</v>
      </c>
      <c r="H699" t="s">
        <v>101</v>
      </c>
      <c r="J699" s="7">
        <v>18.248000000000001</v>
      </c>
      <c r="K699" s="8"/>
      <c r="L699" s="8">
        <v>43671</v>
      </c>
      <c r="M699">
        <v>7</v>
      </c>
      <c r="N699" s="49" t="s">
        <v>60</v>
      </c>
      <c r="O699">
        <v>2019</v>
      </c>
      <c r="P699">
        <v>0.15029999999999999</v>
      </c>
      <c r="Q699" s="10"/>
      <c r="R699" s="11">
        <f>ROUND(Таб[[#This Row],[Зелений Тариф ЕЦ]]+Таб[[#This Row],[Зелений Тариф ЕЦ]]*Таб[[#This Row],[% надбавки]],4)</f>
        <v>0.15029999999999999</v>
      </c>
      <c r="S699" s="12"/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BD6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587.60156646156281</v>
      </c>
      <c r="BE6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1013.2249885026359</v>
      </c>
      <c r="BF6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1709.3863751609094</v>
      </c>
      <c r="BG6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2429.6721663073413</v>
      </c>
      <c r="BH6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2991.4261565315919</v>
      </c>
      <c r="BI6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3101.7091484774573</v>
      </c>
      <c r="BJ6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3151.681129202927</v>
      </c>
      <c r="BK6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2724.3345354127</v>
      </c>
      <c r="BL6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1912.7206415610985</v>
      </c>
      <c r="BM6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1228.6214571469038</v>
      </c>
      <c r="BN6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568.64667722086722</v>
      </c>
      <c r="BO6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480.76491801400584</v>
      </c>
      <c r="BP699">
        <f>SUM(Таб[[#This Row],[1]:[12]])</f>
        <v>21899.789760000003</v>
      </c>
    </row>
    <row r="700" spans="2:68" ht="51">
      <c r="B700" t="s">
        <v>384</v>
      </c>
      <c r="C700" t="str">
        <f>IFERROR(VLOOKUP(Таб[[#This Row],[Зелений Тариф ЕЦ]],Sheet6!$H$9:$I$29,2,FALSE),"")</f>
        <v>Земля</v>
      </c>
      <c r="D700" t="s">
        <v>3361</v>
      </c>
      <c r="F700" t="s">
        <v>3287</v>
      </c>
      <c r="G700" s="1" t="s">
        <v>1734</v>
      </c>
      <c r="H700" t="s">
        <v>82</v>
      </c>
      <c r="J700" s="7">
        <v>13.369</v>
      </c>
      <c r="K700" s="8"/>
      <c r="L700" s="8">
        <v>43671</v>
      </c>
      <c r="M700">
        <v>7</v>
      </c>
      <c r="N700" s="49" t="s">
        <v>60</v>
      </c>
      <c r="O700">
        <v>2019</v>
      </c>
      <c r="P700">
        <v>0.15029999999999999</v>
      </c>
      <c r="Q700" s="10"/>
      <c r="R700" s="11">
        <f>ROUND(Таб[[#This Row],[Зелений Тариф ЕЦ]]+Таб[[#This Row],[Зелений Тариф ЕЦ]]*Таб[[#This Row],[% надбавки]],4)</f>
        <v>0.15029999999999999</v>
      </c>
      <c r="S700" s="12"/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0.23499999999999999</v>
      </c>
      <c r="AY700">
        <v>3.62</v>
      </c>
      <c r="BD7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430.49349748052566</v>
      </c>
      <c r="BE7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742.31723319222601</v>
      </c>
      <c r="BF7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1252.3447199433472</v>
      </c>
      <c r="BG7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1780.0464265323785</v>
      </c>
      <c r="BH7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2191.6032599008577</v>
      </c>
      <c r="BI7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2272.3996934455895</v>
      </c>
      <c r="BJ7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2309.0105773955465</v>
      </c>
      <c r="BK7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1995.9243974097094</v>
      </c>
      <c r="BL7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1401.3131442914471</v>
      </c>
      <c r="BM7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900.12276745928068</v>
      </c>
      <c r="BN7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416.60661046502491</v>
      </c>
      <c r="BO7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352.22195248406643</v>
      </c>
      <c r="BP700">
        <f>SUM(Таб[[#This Row],[1]:[12]])</f>
        <v>16044.404280000001</v>
      </c>
    </row>
    <row r="701" spans="2:68" ht="51">
      <c r="B701" t="s">
        <v>384</v>
      </c>
      <c r="C701" t="str">
        <f>IFERROR(VLOOKUP(Таб[[#This Row],[Зелений Тариф ЕЦ]],Sheet6!$H$9:$I$29,2,FALSE),"")</f>
        <v>Земля</v>
      </c>
      <c r="D701" t="s">
        <v>3361</v>
      </c>
      <c r="F701" t="s">
        <v>3287</v>
      </c>
      <c r="G701" s="1" t="s">
        <v>1734</v>
      </c>
      <c r="H701" t="s">
        <v>82</v>
      </c>
      <c r="J701" s="7">
        <v>16.039000000000001</v>
      </c>
      <c r="K701" s="8"/>
      <c r="L701" s="8">
        <v>43671</v>
      </c>
      <c r="M701">
        <v>7</v>
      </c>
      <c r="N701" s="49" t="s">
        <v>60</v>
      </c>
      <c r="O701">
        <v>2019</v>
      </c>
      <c r="P701">
        <v>0.15029999999999999</v>
      </c>
      <c r="Q701" s="10"/>
      <c r="R701" s="11">
        <f>ROUND(Таб[[#This Row],[Зелений Тариф ЕЦ]]+Таб[[#This Row],[Зелений Тариф ЕЦ]]*Таб[[#This Row],[% надбавки]],4)</f>
        <v>0.15029999999999999</v>
      </c>
      <c r="S701" s="12"/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BD7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516.46983365174299</v>
      </c>
      <c r="BE7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890.56968383350397</v>
      </c>
      <c r="BF7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1502.4576978959794</v>
      </c>
      <c r="BG7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2135.5497520497288</v>
      </c>
      <c r="BH7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2629.300971317964</v>
      </c>
      <c r="BI7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2726.2337260209306</v>
      </c>
      <c r="BJ7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2770.1563804957118</v>
      </c>
      <c r="BK7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2394.5419560217174</v>
      </c>
      <c r="BL7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1681.1774643795738</v>
      </c>
      <c r="BM7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1079.8914703627352</v>
      </c>
      <c r="BN7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499.8095164371706</v>
      </c>
      <c r="BO7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422.56622753324422</v>
      </c>
      <c r="BP701">
        <f>SUM(Таб[[#This Row],[1]:[12]])</f>
        <v>19248.724679999999</v>
      </c>
    </row>
    <row r="702" spans="2:68" ht="51">
      <c r="B702" t="s">
        <v>384</v>
      </c>
      <c r="C702" t="str">
        <f>IFERROR(VLOOKUP(Таб[[#This Row],[Зелений Тариф ЕЦ]],Sheet6!$H$9:$I$29,2,FALSE),"")</f>
        <v>Земля</v>
      </c>
      <c r="D702" t="s">
        <v>3361</v>
      </c>
      <c r="F702" t="s">
        <v>3287</v>
      </c>
      <c r="G702" s="1" t="s">
        <v>1734</v>
      </c>
      <c r="H702" t="s">
        <v>82</v>
      </c>
      <c r="J702" s="7">
        <v>17.419</v>
      </c>
      <c r="K702" s="8"/>
      <c r="L702" s="8">
        <v>43671</v>
      </c>
      <c r="M702">
        <v>7</v>
      </c>
      <c r="N702" s="49" t="s">
        <v>60</v>
      </c>
      <c r="O702">
        <v>2019</v>
      </c>
      <c r="P702">
        <v>0.15029999999999999</v>
      </c>
      <c r="Q702" s="10"/>
      <c r="R702" s="11">
        <f>ROUND(Таб[[#This Row],[Зелений Тариф ЕЦ]]+Таб[[#This Row],[Зелений Тариф ЕЦ]]*Таб[[#This Row],[% надбавки]],4)</f>
        <v>0.15029999999999999</v>
      </c>
      <c r="S702" s="12"/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BD7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560.90704111102377</v>
      </c>
      <c r="BE7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967.19454596270373</v>
      </c>
      <c r="BF7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1631.7295741411599</v>
      </c>
      <c r="BG7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2319.2930438901567</v>
      </c>
      <c r="BH7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2855.5267547470298</v>
      </c>
      <c r="BI7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2960.7996304980725</v>
      </c>
      <c r="BJ7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3008.5014023227632</v>
      </c>
      <c r="BK7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2600.5690087874736</v>
      </c>
      <c r="BL7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1825.8264388071448</v>
      </c>
      <c r="BM7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1172.8056314139585</v>
      </c>
      <c r="BN7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542.81326559131321</v>
      </c>
      <c r="BO7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458.92394272720122</v>
      </c>
      <c r="BP702">
        <f>SUM(Таб[[#This Row],[1]:[12]])</f>
        <v>20904.890279999996</v>
      </c>
    </row>
    <row r="703" spans="2:68" ht="51">
      <c r="B703" t="s">
        <v>384</v>
      </c>
      <c r="C703" t="str">
        <f>IFERROR(VLOOKUP(Таб[[#This Row],[Зелений Тариф ЕЦ]],Sheet6!$H$9:$I$29,2,FALSE),"")</f>
        <v>Земля</v>
      </c>
      <c r="G703" s="1" t="s">
        <v>1741</v>
      </c>
      <c r="H703" t="s">
        <v>172</v>
      </c>
      <c r="J703" s="7">
        <v>2.9940000000000002</v>
      </c>
      <c r="K703" s="8"/>
      <c r="L703" s="8">
        <v>43671</v>
      </c>
      <c r="M703">
        <v>7</v>
      </c>
      <c r="N703" s="49" t="s">
        <v>60</v>
      </c>
      <c r="O703">
        <v>2019</v>
      </c>
      <c r="P703">
        <v>0.15029999999999999</v>
      </c>
      <c r="Q703" s="10"/>
      <c r="R703" s="11">
        <f>ROUND(Таб[[#This Row],[Зелений Тариф ЕЦ]]+Таб[[#This Row],[Зелений Тариф ЕЦ]]*Таб[[#This Row],[% надбавки]],4)</f>
        <v>0.15029999999999999</v>
      </c>
      <c r="S703" s="12"/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BD7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96.409419661657097</v>
      </c>
      <c r="BE7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166.24263566291606</v>
      </c>
      <c r="BF7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280.46376628845701</v>
      </c>
      <c r="BG7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398.64305490597224</v>
      </c>
      <c r="BH7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490.81159100479977</v>
      </c>
      <c r="BI7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508.90602753953891</v>
      </c>
      <c r="BJ7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517.10506909434264</v>
      </c>
      <c r="BK7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446.98912752222839</v>
      </c>
      <c r="BL7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313.82538364938239</v>
      </c>
      <c r="BM7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201.58333201982845</v>
      </c>
      <c r="BN7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93.299438382248809</v>
      </c>
      <c r="BO7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78.880434268628548</v>
      </c>
      <c r="BP703">
        <f>SUM(Таб[[#This Row],[1]:[12]])</f>
        <v>3593.1592800000003</v>
      </c>
    </row>
    <row r="704" spans="2:68" ht="51">
      <c r="B704" t="s">
        <v>384</v>
      </c>
      <c r="C704" t="str">
        <f>IFERROR(VLOOKUP(Таб[[#This Row],[Зелений Тариф ЕЦ]],Sheet6!$H$9:$I$29,2,FALSE),"")</f>
        <v>Земля</v>
      </c>
      <c r="G704" s="1" t="s">
        <v>1743</v>
      </c>
      <c r="H704" t="s">
        <v>122</v>
      </c>
      <c r="J704" s="7">
        <v>3.6</v>
      </c>
      <c r="K704" s="8"/>
      <c r="L704" s="8">
        <v>43671</v>
      </c>
      <c r="M704">
        <v>7</v>
      </c>
      <c r="N704" s="49" t="s">
        <v>60</v>
      </c>
      <c r="O704">
        <v>2019</v>
      </c>
      <c r="P704">
        <v>0.15029999999999999</v>
      </c>
      <c r="Q704" s="10"/>
      <c r="R704" s="11">
        <f>ROUND(Таб[[#This Row],[Зелений Тариф ЕЦ]]+Таб[[#This Row],[Зелений Тариф ЕЦ]]*Таб[[#This Row],[% надбавки]],4)</f>
        <v>0.15029999999999999</v>
      </c>
      <c r="S704" s="12"/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BD7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115.92314989377608</v>
      </c>
      <c r="BE7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199.89094468486903</v>
      </c>
      <c r="BF7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337.23098150916672</v>
      </c>
      <c r="BG7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479.33032654024703</v>
      </c>
      <c r="BH7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590.15421764104178</v>
      </c>
      <c r="BI7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611.91105515776223</v>
      </c>
      <c r="BJ7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621.76962215752621</v>
      </c>
      <c r="BK7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537.46187678023455</v>
      </c>
      <c r="BL7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377.34515068062012</v>
      </c>
      <c r="BM7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242.3847679597136</v>
      </c>
      <c r="BN7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112.18369344558974</v>
      </c>
      <c r="BO7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94.846213549453154</v>
      </c>
      <c r="BP704">
        <f>SUM(Таб[[#This Row],[1]:[12]])</f>
        <v>4320.4319999999998</v>
      </c>
    </row>
    <row r="705" spans="2:68" ht="51">
      <c r="B705" t="s">
        <v>384</v>
      </c>
      <c r="C705" t="str">
        <f>IFERROR(VLOOKUP(Таб[[#This Row],[Зелений Тариф ЕЦ]],Sheet6!$H$9:$I$29,2,FALSE),"")</f>
        <v>Дах</v>
      </c>
      <c r="G705" s="1" t="s">
        <v>1745</v>
      </c>
      <c r="H705" t="s">
        <v>233</v>
      </c>
      <c r="J705" s="7">
        <v>0.38900000000000001</v>
      </c>
      <c r="K705" s="8"/>
      <c r="L705" s="8">
        <v>43671</v>
      </c>
      <c r="M705">
        <v>7</v>
      </c>
      <c r="N705" s="49" t="s">
        <v>60</v>
      </c>
      <c r="O705">
        <v>2019</v>
      </c>
      <c r="P705">
        <v>0.16370000000000001</v>
      </c>
      <c r="Q705" s="10"/>
      <c r="R705" s="11">
        <f>ROUND(Таб[[#This Row],[Зелений Тариф ЕЦ]]+Таб[[#This Row],[Зелений Тариф ЕЦ]]*Таб[[#This Row],[% надбавки]],4)</f>
        <v>0.16370000000000001</v>
      </c>
      <c r="S705" s="12"/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1.4999999999999999E-2</v>
      </c>
      <c r="BD7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12.526140363521915</v>
      </c>
      <c r="BE7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21.599327078448344</v>
      </c>
      <c r="BF7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36.439681057518293</v>
      </c>
      <c r="BG7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51.794304728932254</v>
      </c>
      <c r="BH7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63.769441850657017</v>
      </c>
      <c r="BI7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66.120389015658205</v>
      </c>
      <c r="BJ7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67.185661949799353</v>
      </c>
      <c r="BK7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58.075741685419786</v>
      </c>
      <c r="BL7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40.774239892989229</v>
      </c>
      <c r="BM7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26.19102076009127</v>
      </c>
      <c r="BN7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12.122071319537337</v>
      </c>
      <c r="BO7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10.248660297427021</v>
      </c>
      <c r="BP705">
        <f>SUM(Таб[[#This Row],[1]:[12]])</f>
        <v>466.84667999999999</v>
      </c>
    </row>
    <row r="706" spans="2:68" ht="38.25">
      <c r="B706" t="s">
        <v>384</v>
      </c>
      <c r="C706" t="str">
        <f>IFERROR(VLOOKUP(Таб[[#This Row],[Зелений Тариф ЕЦ]],Sheet6!$H$9:$I$29,2,FALSE),"")</f>
        <v>Земля</v>
      </c>
      <c r="D706" t="s">
        <v>3365</v>
      </c>
      <c r="E706" t="s">
        <v>3363</v>
      </c>
      <c r="F706" t="s">
        <v>3364</v>
      </c>
      <c r="G706" s="1" t="s">
        <v>1748</v>
      </c>
      <c r="H706" t="s">
        <v>82</v>
      </c>
      <c r="J706" s="7">
        <v>13.382999999999999</v>
      </c>
      <c r="K706" s="8"/>
      <c r="L706" s="8">
        <v>43676</v>
      </c>
      <c r="M706">
        <v>7</v>
      </c>
      <c r="N706" s="49" t="s">
        <v>60</v>
      </c>
      <c r="O706">
        <v>2019</v>
      </c>
      <c r="P706">
        <v>0.15029999999999999</v>
      </c>
      <c r="Q706" s="10">
        <v>0.05</v>
      </c>
      <c r="R706" s="11">
        <f>ROUND(Таб[[#This Row],[Зелений Тариф ЕЦ]]+Таб[[#This Row],[Зелений Тариф ЕЦ]]*Таб[[#This Row],[% надбавки]],4)</f>
        <v>0.1578</v>
      </c>
      <c r="S706" s="12">
        <v>43676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BD7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430.94430973011254</v>
      </c>
      <c r="BE7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743.09458686600044</v>
      </c>
      <c r="BF7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1253.6561737603272</v>
      </c>
      <c r="BG7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1781.9104889133685</v>
      </c>
      <c r="BH7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2193.8983040805724</v>
      </c>
      <c r="BI7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2274.7793475489807</v>
      </c>
      <c r="BJ7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2311.4285703706037</v>
      </c>
      <c r="BK7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1998.0145269305217</v>
      </c>
      <c r="BL7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1402.7805976552049</v>
      </c>
      <c r="BM7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901.06537489023503</v>
      </c>
      <c r="BN7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417.04288038397988</v>
      </c>
      <c r="BO7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352.59079887009204</v>
      </c>
      <c r="BP706">
        <f>SUM(Таб[[#This Row],[1]:[12]])</f>
        <v>16061.205959999999</v>
      </c>
    </row>
    <row r="707" spans="2:68" ht="25.5">
      <c r="B707" t="s">
        <v>384</v>
      </c>
      <c r="C707" t="str">
        <f>IFERROR(VLOOKUP(Таб[[#This Row],[Зелений Тариф ЕЦ]],Sheet6!$H$9:$I$29,2,FALSE),"")</f>
        <v>Земля</v>
      </c>
      <c r="D707" t="s">
        <v>3365</v>
      </c>
      <c r="E707" t="s">
        <v>3363</v>
      </c>
      <c r="F707" t="s">
        <v>3364</v>
      </c>
      <c r="G707" s="1" t="s">
        <v>1751</v>
      </c>
      <c r="H707" t="s">
        <v>82</v>
      </c>
      <c r="J707" s="7">
        <v>15.497999999999999</v>
      </c>
      <c r="K707" s="8"/>
      <c r="L707" s="8">
        <v>43676</v>
      </c>
      <c r="M707">
        <v>7</v>
      </c>
      <c r="N707" s="49" t="s">
        <v>60</v>
      </c>
      <c r="O707">
        <v>2019</v>
      </c>
      <c r="P707">
        <v>0.15029999999999999</v>
      </c>
      <c r="Q707" s="10">
        <v>0.05</v>
      </c>
      <c r="R707" s="11">
        <f>ROUND(Таб[[#This Row],[Зелений Тариф ЕЦ]]+Таб[[#This Row],[Зелений Тариф ЕЦ]]*Таб[[#This Row],[% надбавки]],4)</f>
        <v>0.1578</v>
      </c>
      <c r="S707" s="12">
        <v>43676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BD7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499.04916029270595</v>
      </c>
      <c r="BE7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860.53051686836102</v>
      </c>
      <c r="BF7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1451.7793753969627</v>
      </c>
      <c r="BG7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2063.5170557557635</v>
      </c>
      <c r="BH7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2540.6139069446849</v>
      </c>
      <c r="BI7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2634.2770924541664</v>
      </c>
      <c r="BJ7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2676.7182233881504</v>
      </c>
      <c r="BK7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2313.7733795389095</v>
      </c>
      <c r="BL7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1624.4708736800694</v>
      </c>
      <c r="BM7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1043.466426066567</v>
      </c>
      <c r="BN7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482.9508002832639</v>
      </c>
      <c r="BO7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408.31294933039578</v>
      </c>
      <c r="BP707">
        <f>SUM(Таб[[#This Row],[1]:[12]])</f>
        <v>18599.459759999998</v>
      </c>
    </row>
    <row r="708" spans="2:68" ht="51">
      <c r="B708" t="s">
        <v>384</v>
      </c>
      <c r="C708" t="str">
        <f>IFERROR(VLOOKUP(Таб[[#This Row],[Зелений Тариф ЕЦ]],Sheet6!$H$9:$I$29,2,FALSE),"")</f>
        <v>Земля</v>
      </c>
      <c r="D708" t="s">
        <v>3362</v>
      </c>
      <c r="F708" t="s">
        <v>3287</v>
      </c>
      <c r="G708" s="1" t="s">
        <v>1754</v>
      </c>
      <c r="H708" t="s">
        <v>122</v>
      </c>
      <c r="J708" s="7">
        <v>21.669</v>
      </c>
      <c r="K708" s="8"/>
      <c r="L708" s="8">
        <v>43676</v>
      </c>
      <c r="M708">
        <v>7</v>
      </c>
      <c r="N708" s="49" t="s">
        <v>60</v>
      </c>
      <c r="O708">
        <v>2019</v>
      </c>
      <c r="P708">
        <v>0.15029999999999999</v>
      </c>
      <c r="Q708" s="10">
        <v>0.05</v>
      </c>
      <c r="R708" s="11">
        <f>ROUND(Таб[[#This Row],[Зелений Тариф ЕЦ]]+Таб[[#This Row],[Зелений Тариф ЕЦ]]*Таб[[#This Row],[% надбавки]],4)</f>
        <v>0.1578</v>
      </c>
      <c r="S708" s="12">
        <v>43676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BD7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697.76075973562058</v>
      </c>
      <c r="BE7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1203.176911215674</v>
      </c>
      <c r="BF7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2029.8494828672597</v>
      </c>
      <c r="BG7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2885.1691238335038</v>
      </c>
      <c r="BH7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3552.2365950177036</v>
      </c>
      <c r="BI7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3683.1946261704306</v>
      </c>
      <c r="BJ7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3742.5349840365097</v>
      </c>
      <c r="BK7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3235.0726133196954</v>
      </c>
      <c r="BL7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2271.3033528050992</v>
      </c>
      <c r="BM7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1458.9543158108427</v>
      </c>
      <c r="BN7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675.25234813124575</v>
      </c>
      <c r="BO7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570.89516705641677</v>
      </c>
      <c r="BP708">
        <f>SUM(Таб[[#This Row],[1]:[12]])</f>
        <v>26005.400280000002</v>
      </c>
    </row>
    <row r="709" spans="2:68" ht="25.5">
      <c r="B709" t="s">
        <v>384</v>
      </c>
      <c r="C709" t="str">
        <f>IFERROR(VLOOKUP(Таб[[#This Row],[Зелений Тариф ЕЦ]],Sheet6!$H$9:$I$29,2,FALSE),"")</f>
        <v>Земля</v>
      </c>
      <c r="D709" t="s">
        <v>3365</v>
      </c>
      <c r="E709" t="s">
        <v>3363</v>
      </c>
      <c r="F709" t="s">
        <v>3364</v>
      </c>
      <c r="G709" s="1" t="s">
        <v>1757</v>
      </c>
      <c r="H709" t="s">
        <v>82</v>
      </c>
      <c r="J709" s="7">
        <v>9.0990000000000002</v>
      </c>
      <c r="K709" s="8"/>
      <c r="L709" s="8">
        <v>43676</v>
      </c>
      <c r="M709">
        <v>7</v>
      </c>
      <c r="N709" s="49" t="s">
        <v>60</v>
      </c>
      <c r="O709">
        <v>2019</v>
      </c>
      <c r="P709">
        <v>0.15029999999999999</v>
      </c>
      <c r="Q709" s="10">
        <v>0.05</v>
      </c>
      <c r="R709" s="11">
        <f>ROUND(Таб[[#This Row],[Зелений Тариф ЕЦ]]+Таб[[#This Row],[Зелений Тариф ЕЦ]]*Таб[[#This Row],[% надбавки]],4)</f>
        <v>0.1578</v>
      </c>
      <c r="S709" s="12">
        <v>43683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BD7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292.99576135651904</v>
      </c>
      <c r="BE7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505.22436269100638</v>
      </c>
      <c r="BF7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852.35130576441884</v>
      </c>
      <c r="BG7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1211.5074003304744</v>
      </c>
      <c r="BH7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1491.6147850877333</v>
      </c>
      <c r="BI7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1546.6051919112438</v>
      </c>
      <c r="BJ7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1571.5227200031477</v>
      </c>
      <c r="BK7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1358.4348935620428</v>
      </c>
      <c r="BL7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953.73986834526738</v>
      </c>
      <c r="BM7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612.62750101817608</v>
      </c>
      <c r="BN7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283.54428518372811</v>
      </c>
      <c r="BO7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239.72380474624282</v>
      </c>
      <c r="BP709">
        <f>SUM(Таб[[#This Row],[1]:[12]])</f>
        <v>10919.891879999999</v>
      </c>
    </row>
    <row r="710" spans="2:68" ht="38.25">
      <c r="B710" t="s">
        <v>384</v>
      </c>
      <c r="C710" t="str">
        <f>IFERROR(VLOOKUP(Таб[[#This Row],[Зелений Тариф ЕЦ]],Sheet6!$H$9:$I$29,2,FALSE),"")</f>
        <v>Земля</v>
      </c>
      <c r="G710" s="1" t="s">
        <v>1760</v>
      </c>
      <c r="H710" t="s">
        <v>172</v>
      </c>
      <c r="J710" s="7">
        <v>4.7629999999999999</v>
      </c>
      <c r="K710" s="8"/>
      <c r="L710" s="8">
        <v>43676</v>
      </c>
      <c r="M710">
        <v>7</v>
      </c>
      <c r="N710" s="49" t="s">
        <v>60</v>
      </c>
      <c r="O710">
        <v>2019</v>
      </c>
      <c r="P710">
        <v>0.15029999999999999</v>
      </c>
      <c r="Q710" s="10"/>
      <c r="R710" s="11">
        <f>ROUND(Таб[[#This Row],[Зелений Тариф ЕЦ]]+Таб[[#This Row],[Зелений Тариф ЕЦ]]*Таб[[#This Row],[% надбавки]],4)</f>
        <v>0.15029999999999999</v>
      </c>
      <c r="S710" s="12"/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0.57199999999999995</v>
      </c>
      <c r="BD7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153.37276748445987</v>
      </c>
      <c r="BE7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264.46682487056415</v>
      </c>
      <c r="BF7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446.17532359115586</v>
      </c>
      <c r="BG7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634.18065147533252</v>
      </c>
      <c r="BH7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780.80681628452271</v>
      </c>
      <c r="BI7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809.59232103233933</v>
      </c>
      <c r="BJ7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822.63575287119363</v>
      </c>
      <c r="BK7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711.09192197340474</v>
      </c>
      <c r="BL7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499.24859796994258</v>
      </c>
      <c r="BM7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320.68851383114327</v>
      </c>
      <c r="BN7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148.42525885592889</v>
      </c>
      <c r="BO7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125.48680976001259</v>
      </c>
      <c r="BP710">
        <f>SUM(Таб[[#This Row],[1]:[12]])</f>
        <v>5716.1715600000016</v>
      </c>
    </row>
    <row r="711" spans="2:68" ht="51">
      <c r="B711" t="s">
        <v>384</v>
      </c>
      <c r="C711" t="str">
        <f>IFERROR(VLOOKUP(Таб[[#This Row],[Зелений Тариф ЕЦ]],Sheet6!$H$9:$I$29,2,FALSE),"")</f>
        <v>Земля</v>
      </c>
      <c r="D711" t="s">
        <v>3365</v>
      </c>
      <c r="E711" t="s">
        <v>3363</v>
      </c>
      <c r="F711" t="s">
        <v>3364</v>
      </c>
      <c r="G711" s="1" t="s">
        <v>1763</v>
      </c>
      <c r="H711" t="s">
        <v>82</v>
      </c>
      <c r="J711" s="7">
        <v>7.4989999999999997</v>
      </c>
      <c r="K711" s="8"/>
      <c r="L711" s="8">
        <v>43676</v>
      </c>
      <c r="M711">
        <v>7</v>
      </c>
      <c r="N711" s="49" t="s">
        <v>60</v>
      </c>
      <c r="O711">
        <v>2019</v>
      </c>
      <c r="P711">
        <v>0.15029999999999999</v>
      </c>
      <c r="Q711" s="10">
        <v>0.05</v>
      </c>
      <c r="R711" s="11">
        <f>ROUND(Таб[[#This Row],[Зелений Тариф ЕЦ]]+Таб[[#This Row],[Зелений Тариф ЕЦ]]*Таб[[#This Row],[% надбавки]],4)</f>
        <v>0.1578</v>
      </c>
      <c r="S711" s="12">
        <v>43676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BD7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241.47436140372969</v>
      </c>
      <c r="BE7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416.38394283106459</v>
      </c>
      <c r="BF7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702.47086953812254</v>
      </c>
      <c r="BG7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998.47169964592013</v>
      </c>
      <c r="BH7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1229.3240216917143</v>
      </c>
      <c r="BI7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1274.6447229522387</v>
      </c>
      <c r="BJ7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1295.1806657109134</v>
      </c>
      <c r="BK7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1119.5629483263829</v>
      </c>
      <c r="BL7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786.03091248721375</v>
      </c>
      <c r="BM7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504.90093748052561</v>
      </c>
      <c r="BN7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233.6848658745771</v>
      </c>
      <c r="BO7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197.56993205759699</v>
      </c>
      <c r="BP711">
        <f>SUM(Таб[[#This Row],[1]:[12]])</f>
        <v>8999.6998800000001</v>
      </c>
    </row>
    <row r="712" spans="2:68" ht="38.25">
      <c r="B712" t="s">
        <v>384</v>
      </c>
      <c r="C712" t="str">
        <f>IFERROR(VLOOKUP(Таб[[#This Row],[Зелений Тариф ЕЦ]],Sheet6!$H$9:$I$29,2,FALSE),"")</f>
        <v>Земля</v>
      </c>
      <c r="G712" s="1" t="s">
        <v>1766</v>
      </c>
      <c r="H712" t="s">
        <v>62</v>
      </c>
      <c r="J712" s="7">
        <v>4.9800000000000004</v>
      </c>
      <c r="K712" s="8"/>
      <c r="L712" s="8">
        <v>43676</v>
      </c>
      <c r="M712">
        <v>7</v>
      </c>
      <c r="N712" s="49" t="s">
        <v>60</v>
      </c>
      <c r="O712">
        <v>2019</v>
      </c>
      <c r="P712">
        <v>0.15029999999999999</v>
      </c>
      <c r="Q712" s="10"/>
      <c r="R712" s="11">
        <f>ROUND(Таб[[#This Row],[Зелений Тариф ЕЦ]]+Таб[[#This Row],[Зелений Тариф ЕЦ]]*Таб[[#This Row],[% надбавки]],4)</f>
        <v>0.15029999999999999</v>
      </c>
      <c r="S712" s="12"/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BD7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160.36035735305694</v>
      </c>
      <c r="BE7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276.51580681406881</v>
      </c>
      <c r="BF7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466.50285775434736</v>
      </c>
      <c r="BG7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663.07361838067527</v>
      </c>
      <c r="BH7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816.38000107010771</v>
      </c>
      <c r="BI7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846.47695963490446</v>
      </c>
      <c r="BJ7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860.11464398457792</v>
      </c>
      <c r="BK7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743.48892954599114</v>
      </c>
      <c r="BL7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521.99412510819116</v>
      </c>
      <c r="BM7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335.29892901093712</v>
      </c>
      <c r="BN7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155.18744259973249</v>
      </c>
      <c r="BO7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131.20392874341019</v>
      </c>
      <c r="BP712">
        <f>SUM(Таб[[#This Row],[1]:[12]])</f>
        <v>5976.5975999999991</v>
      </c>
    </row>
    <row r="713" spans="2:68" ht="38.25">
      <c r="B713" t="s">
        <v>384</v>
      </c>
      <c r="C713" t="str">
        <f>IFERROR(VLOOKUP(Таб[[#This Row],[Зелений Тариф ЕЦ]],Sheet6!$H$9:$I$29,2,FALSE),"")</f>
        <v>Земля</v>
      </c>
      <c r="G713" s="1" t="s">
        <v>1766</v>
      </c>
      <c r="H713" t="s">
        <v>62</v>
      </c>
      <c r="J713" s="7">
        <v>4.9800000000000004</v>
      </c>
      <c r="K713" s="8"/>
      <c r="L713" s="8">
        <v>43676</v>
      </c>
      <c r="M713">
        <v>7</v>
      </c>
      <c r="N713" s="49" t="s">
        <v>60</v>
      </c>
      <c r="O713">
        <v>2019</v>
      </c>
      <c r="P713">
        <v>0.15029999999999999</v>
      </c>
      <c r="Q713" s="10"/>
      <c r="R713" s="11">
        <f>ROUND(Таб[[#This Row],[Зелений Тариф ЕЦ]]+Таб[[#This Row],[Зелений Тариф ЕЦ]]*Таб[[#This Row],[% надбавки]],4)</f>
        <v>0.15029999999999999</v>
      </c>
      <c r="S713" s="12"/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BD7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160.36035735305694</v>
      </c>
      <c r="BE7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276.51580681406881</v>
      </c>
      <c r="BF7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466.50285775434736</v>
      </c>
      <c r="BG7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663.07361838067527</v>
      </c>
      <c r="BH7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816.38000107010771</v>
      </c>
      <c r="BI7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846.47695963490446</v>
      </c>
      <c r="BJ7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860.11464398457792</v>
      </c>
      <c r="BK7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743.48892954599114</v>
      </c>
      <c r="BL7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521.99412510819116</v>
      </c>
      <c r="BM7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335.29892901093712</v>
      </c>
      <c r="BN7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155.18744259973249</v>
      </c>
      <c r="BO7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131.20392874341019</v>
      </c>
      <c r="BP713">
        <f>SUM(Таб[[#This Row],[1]:[12]])</f>
        <v>5976.5975999999991</v>
      </c>
    </row>
    <row r="714" spans="2:68" ht="38.25">
      <c r="B714" t="s">
        <v>384</v>
      </c>
      <c r="C714" t="str">
        <f>IFERROR(VLOOKUP(Таб[[#This Row],[Зелений Тариф ЕЦ]],Sheet6!$H$9:$I$29,2,FALSE),"")</f>
        <v>Земля</v>
      </c>
      <c r="D714" t="s">
        <v>3365</v>
      </c>
      <c r="E714" t="s">
        <v>3363</v>
      </c>
      <c r="F714" t="s">
        <v>3364</v>
      </c>
      <c r="G714" s="1" t="s">
        <v>1770</v>
      </c>
      <c r="H714" t="s">
        <v>82</v>
      </c>
      <c r="J714" s="7">
        <v>17.358000000000001</v>
      </c>
      <c r="K714" s="8"/>
      <c r="L714" s="8">
        <v>43683</v>
      </c>
      <c r="M714">
        <v>8</v>
      </c>
      <c r="N714" s="49" t="s">
        <v>60</v>
      </c>
      <c r="O714">
        <v>2019</v>
      </c>
      <c r="P714">
        <v>0.15029999999999999</v>
      </c>
      <c r="Q714" s="10">
        <v>0.05</v>
      </c>
      <c r="R714" s="11">
        <f>ROUND(Таб[[#This Row],[Зелений Тариф ЕЦ]]+Таб[[#This Row],[Зелений Тариф ЕЦ]]*Таб[[#This Row],[% надбавки]],4)</f>
        <v>0.1578</v>
      </c>
      <c r="S714" s="12">
        <v>43683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BD7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558.94278773782366</v>
      </c>
      <c r="BE7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963.80750495554344</v>
      </c>
      <c r="BF7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1626.0153825100322</v>
      </c>
      <c r="BG7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2311.1710578015582</v>
      </c>
      <c r="BH7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2845.5269193925565</v>
      </c>
      <c r="BI7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2950.4311376190099</v>
      </c>
      <c r="BJ7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2997.965861502872</v>
      </c>
      <c r="BK7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2591.4620158753642</v>
      </c>
      <c r="BL7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1819.4325348650564</v>
      </c>
      <c r="BM7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1168.6985561790857</v>
      </c>
      <c r="BN7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540.91237523015195</v>
      </c>
      <c r="BO7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457.31682633094658</v>
      </c>
      <c r="BP714">
        <f>SUM(Таб[[#This Row],[1]:[12]])</f>
        <v>20831.682959999998</v>
      </c>
    </row>
    <row r="715" spans="2:68" ht="51">
      <c r="B715" t="s">
        <v>384</v>
      </c>
      <c r="C715" t="str">
        <f>IFERROR(VLOOKUP(Таб[[#This Row],[Зелений Тариф ЕЦ]],Sheet6!$H$9:$I$29,2,FALSE),"")</f>
        <v>Земля</v>
      </c>
      <c r="D715" t="s">
        <v>3386</v>
      </c>
      <c r="E715" t="s">
        <v>3386</v>
      </c>
      <c r="F715" t="s">
        <v>3287</v>
      </c>
      <c r="G715" s="1" t="s">
        <v>1773</v>
      </c>
      <c r="H715" t="s">
        <v>98</v>
      </c>
      <c r="I715" t="s">
        <v>458</v>
      </c>
      <c r="J715" s="7">
        <v>13.023</v>
      </c>
      <c r="K715" s="8"/>
      <c r="L715" s="8">
        <v>43683</v>
      </c>
      <c r="M715">
        <v>8</v>
      </c>
      <c r="N715" s="49" t="s">
        <v>60</v>
      </c>
      <c r="O715">
        <v>2019</v>
      </c>
      <c r="P715">
        <v>0.15029999999999999</v>
      </c>
      <c r="Q715" s="10"/>
      <c r="R715" s="11">
        <f>ROUND(Таб[[#This Row],[Зелений Тариф ЕЦ]]+Таб[[#This Row],[Зелений Тариф ЕЦ]]*Таб[[#This Row],[% надбавки]],4)</f>
        <v>0.15029999999999999</v>
      </c>
      <c r="S715" s="12"/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BD7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419.35199474073488</v>
      </c>
      <c r="BE7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723.10549239751367</v>
      </c>
      <c r="BF7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1219.9330756094105</v>
      </c>
      <c r="BG7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1733.9774562593439</v>
      </c>
      <c r="BH7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2134.8828823164686</v>
      </c>
      <c r="BI7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2213.588242033205</v>
      </c>
      <c r="BJ7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2249.2516081548511</v>
      </c>
      <c r="BK7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1944.2683392524982</v>
      </c>
      <c r="BL7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1365.0460825871432</v>
      </c>
      <c r="BM7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876.8268980942637</v>
      </c>
      <c r="BN7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405.82451103942094</v>
      </c>
      <c r="BO7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343.10617751514673</v>
      </c>
      <c r="BP715">
        <f>SUM(Таб[[#This Row],[1]:[12]])</f>
        <v>15629.162759999999</v>
      </c>
    </row>
    <row r="716" spans="2:68" ht="51">
      <c r="B716" t="s">
        <v>384</v>
      </c>
      <c r="C716" t="str">
        <f>IFERROR(VLOOKUP(Таб[[#This Row],[Зелений Тариф ЕЦ]],Sheet6!$H$9:$I$29,2,FALSE),"")</f>
        <v>Земля</v>
      </c>
      <c r="D716" t="s">
        <v>3386</v>
      </c>
      <c r="E716" t="s">
        <v>3386</v>
      </c>
      <c r="F716" t="s">
        <v>3287</v>
      </c>
      <c r="G716" s="1" t="s">
        <v>1776</v>
      </c>
      <c r="H716" t="s">
        <v>98</v>
      </c>
      <c r="I716" t="s">
        <v>458</v>
      </c>
      <c r="J716" s="7">
        <v>12.831</v>
      </c>
      <c r="K716" s="8"/>
      <c r="L716" s="8">
        <v>43683</v>
      </c>
      <c r="M716">
        <v>8</v>
      </c>
      <c r="N716" s="49" t="s">
        <v>60</v>
      </c>
      <c r="O716">
        <v>2019</v>
      </c>
      <c r="P716">
        <v>0.15029999999999999</v>
      </c>
      <c r="Q716" s="10"/>
      <c r="R716" s="11">
        <f>ROUND(Таб[[#This Row],[Зелений Тариф ЕЦ]]+Таб[[#This Row],[Зелений Тариф ЕЦ]]*Таб[[#This Row],[% надбавки]],4)</f>
        <v>0.15029999999999999</v>
      </c>
      <c r="S716" s="12"/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BD7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413.16942674640029</v>
      </c>
      <c r="BE7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712.44464201432061</v>
      </c>
      <c r="BF7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1201.9474232622551</v>
      </c>
      <c r="BG7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1708.4131721771969</v>
      </c>
      <c r="BH7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2103.4079907089463</v>
      </c>
      <c r="BI7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2180.9529857581242</v>
      </c>
      <c r="BJ7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2216.0905616397831</v>
      </c>
      <c r="BK7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1915.6037058242191</v>
      </c>
      <c r="BL7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1344.9210078841768</v>
      </c>
      <c r="BM7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863.89971046974574</v>
      </c>
      <c r="BN7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399.84138072232281</v>
      </c>
      <c r="BO7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338.04771279250929</v>
      </c>
      <c r="BP716">
        <f>SUM(Таб[[#This Row],[1]:[12]])</f>
        <v>15398.73972</v>
      </c>
    </row>
    <row r="717" spans="2:68" ht="38.25">
      <c r="B717" t="s">
        <v>384</v>
      </c>
      <c r="C717" t="str">
        <f>IFERROR(VLOOKUP(Таб[[#This Row],[Зелений Тариф ЕЦ]],Sheet6!$H$9:$I$29,2,FALSE),"")</f>
        <v>Земля</v>
      </c>
      <c r="G717" s="1" t="s">
        <v>1778</v>
      </c>
      <c r="H717" t="s">
        <v>101</v>
      </c>
      <c r="I717" t="s">
        <v>1779</v>
      </c>
      <c r="J717" s="7">
        <v>9.9789999999999992</v>
      </c>
      <c r="K717" s="8"/>
      <c r="L717" s="8">
        <v>43683</v>
      </c>
      <c r="M717">
        <v>8</v>
      </c>
      <c r="N717" s="49" t="s">
        <v>60</v>
      </c>
      <c r="O717">
        <v>2019</v>
      </c>
      <c r="P717">
        <v>0.15029999999999999</v>
      </c>
      <c r="Q717" s="10">
        <v>0.05</v>
      </c>
      <c r="R717" s="11">
        <f>ROUND(Таб[[#This Row],[Зелений Тариф ЕЦ]]+Таб[[#This Row],[Зелений Тариф ЕЦ]]*Таб[[#This Row],[% надбавки]],4)</f>
        <v>0.1578</v>
      </c>
      <c r="S717" s="12">
        <v>43690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BD7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321.33253133055314</v>
      </c>
      <c r="BE7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554.0865936139744</v>
      </c>
      <c r="BF7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934.78554568888194</v>
      </c>
      <c r="BG7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1328.6770357069793</v>
      </c>
      <c r="BH7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1635.8747049555432</v>
      </c>
      <c r="BI7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1696.183449838697</v>
      </c>
      <c r="BJ7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1723.5108498638758</v>
      </c>
      <c r="BK7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1489.8144634416553</v>
      </c>
      <c r="BL7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1045.9797940671965</v>
      </c>
      <c r="BM7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671.87711096388375</v>
      </c>
      <c r="BN7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310.96696580376113</v>
      </c>
      <c r="BO7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262.90843472499807</v>
      </c>
      <c r="BP717">
        <f>SUM(Таб[[#This Row],[1]:[12]])</f>
        <v>11975.997479999998</v>
      </c>
    </row>
    <row r="718" spans="2:68" ht="51">
      <c r="B718" t="s">
        <v>384</v>
      </c>
      <c r="C718" t="str">
        <f>IFERROR(VLOOKUP(Таб[[#This Row],[Зелений Тариф ЕЦ]],Sheet6!$H$9:$I$29,2,FALSE),"")</f>
        <v>Земля</v>
      </c>
      <c r="G718" s="1" t="s">
        <v>1781</v>
      </c>
      <c r="H718" t="s">
        <v>101</v>
      </c>
      <c r="I718" t="s">
        <v>1779</v>
      </c>
      <c r="J718" s="7">
        <v>9.9789999999999992</v>
      </c>
      <c r="K718" s="8"/>
      <c r="L718" s="8">
        <v>43683</v>
      </c>
      <c r="M718">
        <v>8</v>
      </c>
      <c r="N718" s="49" t="s">
        <v>60</v>
      </c>
      <c r="O718">
        <v>2019</v>
      </c>
      <c r="P718">
        <v>0.15029999999999999</v>
      </c>
      <c r="Q718" s="10">
        <v>0.05</v>
      </c>
      <c r="R718" s="11">
        <f>ROUND(Таб[[#This Row],[Зелений Тариф ЕЦ]]+Таб[[#This Row],[Зелений Тариф ЕЦ]]*Таб[[#This Row],[% надбавки]],4)</f>
        <v>0.1578</v>
      </c>
      <c r="S718" s="12">
        <v>43707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BD7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321.33253133055314</v>
      </c>
      <c r="BE7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554.0865936139744</v>
      </c>
      <c r="BF7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934.78554568888194</v>
      </c>
      <c r="BG7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1328.6770357069793</v>
      </c>
      <c r="BH7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1635.8747049555432</v>
      </c>
      <c r="BI7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1696.183449838697</v>
      </c>
      <c r="BJ7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1723.5108498638758</v>
      </c>
      <c r="BK7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1489.8144634416553</v>
      </c>
      <c r="BL7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1045.9797940671965</v>
      </c>
      <c r="BM7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671.87711096388375</v>
      </c>
      <c r="BN7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310.96696580376113</v>
      </c>
      <c r="BO7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262.90843472499807</v>
      </c>
      <c r="BP718">
        <f>SUM(Таб[[#This Row],[1]:[12]])</f>
        <v>11975.997479999998</v>
      </c>
    </row>
    <row r="719" spans="2:68" ht="25.5">
      <c r="B719" t="s">
        <v>384</v>
      </c>
      <c r="C719" t="str">
        <f>IFERROR(VLOOKUP(Таб[[#This Row],[Зелений Тариф ЕЦ]],Sheet6!$H$9:$I$29,2,FALSE),"")</f>
        <v>Дах</v>
      </c>
      <c r="G719" s="1" t="s">
        <v>1782</v>
      </c>
      <c r="H719" t="s">
        <v>69</v>
      </c>
      <c r="I719" t="s">
        <v>1783</v>
      </c>
      <c r="J719" s="7">
        <v>0.112</v>
      </c>
      <c r="K719" s="8"/>
      <c r="L719" s="8">
        <v>43683</v>
      </c>
      <c r="M719">
        <v>8</v>
      </c>
      <c r="N719" s="49" t="s">
        <v>60</v>
      </c>
      <c r="O719">
        <v>2019</v>
      </c>
      <c r="P719">
        <v>0.16370000000000001</v>
      </c>
      <c r="Q719" s="10"/>
      <c r="R719" s="11">
        <f>ROUND(Таб[[#This Row],[Зелений Тариф ЕЦ]]+Таб[[#This Row],[Зелений Тариф ЕЦ]]*Таб[[#This Row],[% надбавки]],4)</f>
        <v>0.16370000000000001</v>
      </c>
      <c r="S719" s="12"/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BD7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3.6064979966952562</v>
      </c>
      <c r="BE7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6.2188293901959231</v>
      </c>
      <c r="BF7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10.491630535840741</v>
      </c>
      <c r="BG7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14.912499047918796</v>
      </c>
      <c r="BH7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18.360353437721301</v>
      </c>
      <c r="BI7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19.037232827130381</v>
      </c>
      <c r="BJ7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19.343943800456373</v>
      </c>
      <c r="BK7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16.721036166496184</v>
      </c>
      <c r="BL7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11.739626910063736</v>
      </c>
      <c r="BM7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7.5408594476355333</v>
      </c>
      <c r="BN7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3.4901593516405702</v>
      </c>
      <c r="BO7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2.9507710882052089</v>
      </c>
      <c r="BP719">
        <f>SUM(Таб[[#This Row],[1]:[12]])</f>
        <v>134.41343999999998</v>
      </c>
    </row>
    <row r="720" spans="2:68" ht="38.25">
      <c r="B720" t="s">
        <v>384</v>
      </c>
      <c r="C720" t="str">
        <f>IFERROR(VLOOKUP(Таб[[#This Row],[Зелений Тариф ЕЦ]],Sheet6!$H$9:$I$29,2,FALSE),"")</f>
        <v>Земля</v>
      </c>
      <c r="G720" s="1" t="s">
        <v>1785</v>
      </c>
      <c r="H720" t="s">
        <v>65</v>
      </c>
      <c r="I720" t="s">
        <v>1787</v>
      </c>
      <c r="J720" s="7">
        <v>2.7589999999999999</v>
      </c>
      <c r="K720" s="8"/>
      <c r="L720" s="8">
        <v>43692</v>
      </c>
      <c r="M720">
        <v>8</v>
      </c>
      <c r="N720" s="49" t="s">
        <v>60</v>
      </c>
      <c r="O720">
        <v>2019</v>
      </c>
      <c r="P720">
        <v>0.15029999999999999</v>
      </c>
      <c r="Q720" s="10"/>
      <c r="R720" s="11">
        <f>ROUND(Таб[[#This Row],[Зелений Тариф ЕЦ]]+Таб[[#This Row],[Зелений Тариф ЕЦ]]*Таб[[#This Row],[% надбавки]],4)</f>
        <v>0.15029999999999999</v>
      </c>
      <c r="S720" s="12"/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0.34899999999999998</v>
      </c>
      <c r="BD7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88.84221404359117</v>
      </c>
      <c r="BE7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153.19419899598711</v>
      </c>
      <c r="BF7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258.45007721771969</v>
      </c>
      <c r="BG7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367.35343636792823</v>
      </c>
      <c r="BH7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452.28763513100949</v>
      </c>
      <c r="BI7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468.96183366118498</v>
      </c>
      <c r="BJ7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476.51732987017073</v>
      </c>
      <c r="BK7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411.90481056574077</v>
      </c>
      <c r="BL7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289.19313075773073</v>
      </c>
      <c r="BM7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185.76099300023603</v>
      </c>
      <c r="BN7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85.976336171217255</v>
      </c>
      <c r="BO7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72.689084217483668</v>
      </c>
      <c r="BP720">
        <f>SUM(Таб[[#This Row],[1]:[12]])</f>
        <v>3311.1310799999992</v>
      </c>
    </row>
    <row r="721" spans="2:68" ht="38.25">
      <c r="B721" t="s">
        <v>384</v>
      </c>
      <c r="C721" t="str">
        <f>IFERROR(VLOOKUP(Таб[[#This Row],[Зелений Тариф ЕЦ]],Sheet6!$H$9:$I$29,2,FALSE),"")</f>
        <v>Земля</v>
      </c>
      <c r="G721" s="1" t="s">
        <v>1789</v>
      </c>
      <c r="H721" t="s">
        <v>321</v>
      </c>
      <c r="I721" t="s">
        <v>1790</v>
      </c>
      <c r="J721" s="7">
        <v>0.60299999999999998</v>
      </c>
      <c r="K721" s="8"/>
      <c r="L721" s="8">
        <v>43692</v>
      </c>
      <c r="M721">
        <v>8</v>
      </c>
      <c r="N721" s="49" t="s">
        <v>60</v>
      </c>
      <c r="O721">
        <v>2019</v>
      </c>
      <c r="P721">
        <v>0.15029999999999999</v>
      </c>
      <c r="Q721" s="10"/>
      <c r="R721" s="11">
        <f>ROUND(Таб[[#This Row],[Зелений Тариф ЕЦ]]+Таб[[#This Row],[Зелений Тариф ЕЦ]]*Таб[[#This Row],[% надбавки]],4)</f>
        <v>0.15029999999999999</v>
      </c>
      <c r="S721" s="12"/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BD7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19.417127607207494</v>
      </c>
      <c r="BE7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33.481733234715563</v>
      </c>
      <c r="BF7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56.486189402785428</v>
      </c>
      <c r="BG7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80.287829695491382</v>
      </c>
      <c r="BH7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98.850831454874495</v>
      </c>
      <c r="BI7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102.49510173892517</v>
      </c>
      <c r="BJ7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104.14641171138562</v>
      </c>
      <c r="BK7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90.024864360689264</v>
      </c>
      <c r="BL7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63.205312739003858</v>
      </c>
      <c r="BM7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40.599448633252024</v>
      </c>
      <c r="BN7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18.790768652136283</v>
      </c>
      <c r="BO7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15.8867407695334</v>
      </c>
      <c r="BP721">
        <f>SUM(Таб[[#This Row],[1]:[12]])</f>
        <v>723.67235999999991</v>
      </c>
    </row>
    <row r="722" spans="2:68" ht="89.25">
      <c r="B722" t="s">
        <v>384</v>
      </c>
      <c r="C722" t="str">
        <f>IFERROR(VLOOKUP(Таб[[#This Row],[Зелений Тариф ЕЦ]],Sheet6!$H$9:$I$29,2,FALSE),"")</f>
        <v>Дах</v>
      </c>
      <c r="G722" s="1" t="s">
        <v>1792</v>
      </c>
      <c r="H722" t="s">
        <v>101</v>
      </c>
      <c r="I722" t="s">
        <v>1322</v>
      </c>
      <c r="J722" s="7">
        <v>0.66600000000000004</v>
      </c>
      <c r="K722" s="8"/>
      <c r="L722" s="8">
        <v>43692</v>
      </c>
      <c r="M722">
        <v>8</v>
      </c>
      <c r="N722" s="49" t="s">
        <v>60</v>
      </c>
      <c r="O722">
        <v>2019</v>
      </c>
      <c r="P722">
        <v>0.16370000000000001</v>
      </c>
      <c r="Q722" s="10"/>
      <c r="R722" s="11">
        <f>ROUND(Таб[[#This Row],[Зелений Тариф ЕЦ]]+Таб[[#This Row],[Зелений Тариф ЕЦ]]*Таб[[#This Row],[% надбавки]],4)</f>
        <v>0.16370000000000001</v>
      </c>
      <c r="S722" s="12"/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BD7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21.445782730348576</v>
      </c>
      <c r="BE7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36.979824766700766</v>
      </c>
      <c r="BF7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62.387731579195844</v>
      </c>
      <c r="BG7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88.676110409945707</v>
      </c>
      <c r="BH7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109.17853026359273</v>
      </c>
      <c r="BI7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113.20354520418603</v>
      </c>
      <c r="BJ7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115.02738009914233</v>
      </c>
      <c r="BK7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99.430447204343395</v>
      </c>
      <c r="BL7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69.80885287591471</v>
      </c>
      <c r="BM7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44.841182072547014</v>
      </c>
      <c r="BN7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20.753983287434107</v>
      </c>
      <c r="BO7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17.546549506648834</v>
      </c>
      <c r="BP722">
        <f>SUM(Таб[[#This Row],[1]:[12]])</f>
        <v>799.27992000000006</v>
      </c>
    </row>
    <row r="723" spans="2:68" ht="25.5">
      <c r="B723" t="s">
        <v>384</v>
      </c>
      <c r="C723" t="str">
        <f>IFERROR(VLOOKUP(Таб[[#This Row],[Зелений Тариф ЕЦ]],Sheet6!$H$9:$I$29,2,FALSE),"")</f>
        <v>Земля</v>
      </c>
      <c r="G723" s="1" t="s">
        <v>1794</v>
      </c>
      <c r="H723" t="s">
        <v>82</v>
      </c>
      <c r="I723" t="s">
        <v>624</v>
      </c>
      <c r="J723" s="7">
        <v>1.38</v>
      </c>
      <c r="K723" s="8"/>
      <c r="L723" s="8">
        <v>43697</v>
      </c>
      <c r="M723">
        <v>8</v>
      </c>
      <c r="N723" s="49" t="s">
        <v>60</v>
      </c>
      <c r="O723">
        <v>2019</v>
      </c>
      <c r="P723">
        <v>0.15029999999999999</v>
      </c>
      <c r="Q723" s="10"/>
      <c r="R723" s="11">
        <f>ROUND(Таб[[#This Row],[Зелений Тариф ЕЦ]]+Таб[[#This Row],[Зелений Тариф ЕЦ]]*Таб[[#This Row],[% надбавки]],4)</f>
        <v>0.15029999999999999</v>
      </c>
      <c r="S723" s="12"/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BD7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44.437207459280827</v>
      </c>
      <c r="BE7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76.624862129199784</v>
      </c>
      <c r="BF7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129.27187624518058</v>
      </c>
      <c r="BG7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183.74329184042804</v>
      </c>
      <c r="BH7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226.22578342906598</v>
      </c>
      <c r="BI7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234.56590447714217</v>
      </c>
      <c r="BJ7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238.34502182705165</v>
      </c>
      <c r="BK7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206.02705276575654</v>
      </c>
      <c r="BL7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144.64897442757103</v>
      </c>
      <c r="BM7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92.91416105122353</v>
      </c>
      <c r="BN7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43.003749154142739</v>
      </c>
      <c r="BO7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36.357715193957034</v>
      </c>
      <c r="BP723">
        <f>SUM(Таб[[#This Row],[1]:[12]])</f>
        <v>1656.1655999999998</v>
      </c>
    </row>
    <row r="724" spans="2:68" ht="51">
      <c r="B724" t="s">
        <v>384</v>
      </c>
      <c r="C724" t="str">
        <f>IFERROR(VLOOKUP(Таб[[#This Row],[Зелений Тариф ЕЦ]],Sheet6!$H$9:$I$29,2,FALSE),"")</f>
        <v>Земля</v>
      </c>
      <c r="G724" s="1" t="s">
        <v>1796</v>
      </c>
      <c r="H724" t="s">
        <v>62</v>
      </c>
      <c r="I724" t="s">
        <v>1798</v>
      </c>
      <c r="J724" s="7">
        <v>2.8420000000000001</v>
      </c>
      <c r="K724" s="8"/>
      <c r="L724" s="8">
        <v>43697</v>
      </c>
      <c r="M724">
        <v>8</v>
      </c>
      <c r="N724" s="49" t="s">
        <v>60</v>
      </c>
      <c r="O724">
        <v>2019</v>
      </c>
      <c r="P724">
        <v>0.15029999999999999</v>
      </c>
      <c r="Q724" s="10"/>
      <c r="R724" s="11">
        <f>ROUND(Таб[[#This Row],[Зелений Тариф ЕЦ]]+Таб[[#This Row],[Зелений Тариф ЕЦ]]*Таб[[#This Row],[% надбавки]],4)</f>
        <v>0.15029999999999999</v>
      </c>
      <c r="S724" s="12"/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BD7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91.514886666142118</v>
      </c>
      <c r="BE7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157.80279577622159</v>
      </c>
      <c r="BF7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266.22512484695881</v>
      </c>
      <c r="BG7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378.40466334093946</v>
      </c>
      <c r="BH7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465.89396848217797</v>
      </c>
      <c r="BI7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483.06978298843353</v>
      </c>
      <c r="BJ7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490.85257393658031</v>
      </c>
      <c r="BK7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424.29629272484073</v>
      </c>
      <c r="BL7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297.89303284286729</v>
      </c>
      <c r="BM7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191.34930848375166</v>
      </c>
      <c r="BN7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88.562793547879465</v>
      </c>
      <c r="BO7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74.875816363207178</v>
      </c>
      <c r="BP724">
        <f>SUM(Таб[[#This Row],[1]:[12]])</f>
        <v>3410.7410400000008</v>
      </c>
    </row>
    <row r="725" spans="2:68" ht="38.25">
      <c r="B725" t="s">
        <v>384</v>
      </c>
      <c r="C725" t="str">
        <f>IFERROR(VLOOKUP(Таб[[#This Row],[Зелений Тариф ЕЦ]],Sheet6!$H$9:$I$29,2,FALSE),"")</f>
        <v>Земля</v>
      </c>
      <c r="D725" t="s">
        <v>3381</v>
      </c>
      <c r="E725" t="s">
        <v>3381</v>
      </c>
      <c r="F725" t="s">
        <v>3382</v>
      </c>
      <c r="G725" s="1" t="s">
        <v>1800</v>
      </c>
      <c r="H725" t="s">
        <v>176</v>
      </c>
      <c r="I725" t="s">
        <v>1802</v>
      </c>
      <c r="J725" s="7">
        <v>5.8920000000000003</v>
      </c>
      <c r="K725" s="8"/>
      <c r="L725" s="8">
        <v>43697</v>
      </c>
      <c r="M725">
        <v>8</v>
      </c>
      <c r="N725" s="49" t="s">
        <v>60</v>
      </c>
      <c r="O725">
        <v>2019</v>
      </c>
      <c r="P725">
        <v>0.15029999999999999</v>
      </c>
      <c r="Q725" s="10"/>
      <c r="R725" s="11">
        <f>ROUND(Таб[[#This Row],[Зелений Тариф ЕЦ]]+Таб[[#This Row],[Зелений Тариф ЕЦ]]*Таб[[#This Row],[% надбавки]],4)</f>
        <v>0.15029999999999999</v>
      </c>
      <c r="S725" s="12"/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BD7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189.72755532614687</v>
      </c>
      <c r="BE7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327.15484613423564</v>
      </c>
      <c r="BF7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551.93470640333624</v>
      </c>
      <c r="BG7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784.50396777087099</v>
      </c>
      <c r="BH7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965.8857362058385</v>
      </c>
      <c r="BI7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1001.4944269415377</v>
      </c>
      <c r="BJ7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1017.6296149311513</v>
      </c>
      <c r="BK7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879.64593833031722</v>
      </c>
      <c r="BL7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617.58822994728143</v>
      </c>
      <c r="BM7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396.70307022739792</v>
      </c>
      <c r="BN7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183.60731160594858</v>
      </c>
      <c r="BO7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155.23163617593832</v>
      </c>
      <c r="BP725">
        <f>SUM(Таб[[#This Row],[1]:[12]])</f>
        <v>7071.1070400000008</v>
      </c>
    </row>
    <row r="726" spans="2:68" ht="38.25">
      <c r="B726" t="s">
        <v>384</v>
      </c>
      <c r="C726" t="str">
        <f>IFERROR(VLOOKUP(Таб[[#This Row],[Зелений Тариф ЕЦ]],Sheet6!$H$9:$I$29,2,FALSE),"")</f>
        <v>Земля</v>
      </c>
      <c r="G726" s="1" t="s">
        <v>1804</v>
      </c>
      <c r="H726" t="s">
        <v>122</v>
      </c>
      <c r="I726" t="s">
        <v>1806</v>
      </c>
      <c r="J726" s="7">
        <v>4.5149999999999997</v>
      </c>
      <c r="K726" s="8"/>
      <c r="L726" s="8">
        <v>43697</v>
      </c>
      <c r="M726">
        <v>8</v>
      </c>
      <c r="N726" s="49" t="s">
        <v>60</v>
      </c>
      <c r="O726">
        <v>2019</v>
      </c>
      <c r="P726">
        <v>0.15029999999999999</v>
      </c>
      <c r="Q726" s="10"/>
      <c r="R726" s="11">
        <f>ROUND(Таб[[#This Row],[Зелений Тариф ЕЦ]]+Таб[[#This Row],[Зелений Тариф ЕЦ]]*Таб[[#This Row],[% надбавки]],4)</f>
        <v>0.15029999999999999</v>
      </c>
      <c r="S726" s="12"/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BD7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145.38695049177747</v>
      </c>
      <c r="BE7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250.69655979227315</v>
      </c>
      <c r="BF7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422.94385597607982</v>
      </c>
      <c r="BG7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601.1601178692265</v>
      </c>
      <c r="BH7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740.15174795813982</v>
      </c>
      <c r="BI7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767.43844834369338</v>
      </c>
      <c r="BJ7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779.80273445589739</v>
      </c>
      <c r="BK7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674.06677046187747</v>
      </c>
      <c r="BL7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473.25370981194436</v>
      </c>
      <c r="BM7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303.99089648280744</v>
      </c>
      <c r="BN7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140.69704886301048</v>
      </c>
      <c r="BO7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118.95295949327249</v>
      </c>
      <c r="BP726">
        <f>SUM(Таб[[#This Row],[1]:[12]])</f>
        <v>5418.5418</v>
      </c>
    </row>
    <row r="727" spans="2:68" ht="25.5">
      <c r="B727" t="s">
        <v>384</v>
      </c>
      <c r="C727" t="str">
        <f>IFERROR(VLOOKUP(Таб[[#This Row],[Зелений Тариф ЕЦ]],Sheet6!$H$9:$I$29,2,FALSE),"")</f>
        <v>Дах</v>
      </c>
      <c r="G727" s="1" t="s">
        <v>1808</v>
      </c>
      <c r="H727" t="s">
        <v>141</v>
      </c>
      <c r="I727" t="s">
        <v>1809</v>
      </c>
      <c r="J727" s="7">
        <v>2.4E-2</v>
      </c>
      <c r="K727" s="8"/>
      <c r="L727" s="8">
        <v>43697</v>
      </c>
      <c r="M727">
        <v>8</v>
      </c>
      <c r="N727" s="49" t="s">
        <v>60</v>
      </c>
      <c r="O727">
        <v>2019</v>
      </c>
      <c r="P727">
        <v>0.16370000000000001</v>
      </c>
      <c r="Q727" s="10"/>
      <c r="R727" s="11">
        <f>ROUND(Таб[[#This Row],[Зелений Тариф ЕЦ]]+Таб[[#This Row],[Зелений Тариф ЕЦ]]*Таб[[#This Row],[% надбавки]],4)</f>
        <v>0.16370000000000001</v>
      </c>
      <c r="S727" s="12"/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BD7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0.77282099929184056</v>
      </c>
      <c r="BE7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1.3326062978991267</v>
      </c>
      <c r="BF7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2.2482065433944447</v>
      </c>
      <c r="BG7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3.1955355102683134</v>
      </c>
      <c r="BH7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3.9343614509402789</v>
      </c>
      <c r="BI7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4.0794070343850812</v>
      </c>
      <c r="BJ7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4.1451308143835082</v>
      </c>
      <c r="BK7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3.5830791785348968</v>
      </c>
      <c r="BL7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2.5156343378708006</v>
      </c>
      <c r="BM7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1.6158984530647573</v>
      </c>
      <c r="BN7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0.74789128963726492</v>
      </c>
      <c r="BO7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0.6323080903296876</v>
      </c>
      <c r="BP727">
        <f>SUM(Таб[[#This Row],[1]:[12]])</f>
        <v>28.802880000000002</v>
      </c>
    </row>
    <row r="728" spans="2:68" ht="51">
      <c r="B728" t="s">
        <v>384</v>
      </c>
      <c r="C728" t="str">
        <f>IFERROR(VLOOKUP(Таб[[#This Row],[Зелений Тариф ЕЦ]],Sheet6!$H$9:$I$29,2,FALSE),"")</f>
        <v>Дах</v>
      </c>
      <c r="G728" s="1" t="s">
        <v>1811</v>
      </c>
      <c r="H728" t="s">
        <v>69</v>
      </c>
      <c r="J728" s="7">
        <v>0.05</v>
      </c>
      <c r="K728" s="8"/>
      <c r="L728" s="8">
        <v>43697</v>
      </c>
      <c r="M728">
        <v>8</v>
      </c>
      <c r="N728" s="49" t="s">
        <v>60</v>
      </c>
      <c r="O728">
        <v>2019</v>
      </c>
      <c r="P728">
        <v>0.16370000000000001</v>
      </c>
      <c r="Q728" s="10"/>
      <c r="R728" s="11">
        <f>ROUND(Таб[[#This Row],[Зелений Тариф ЕЦ]]+Таб[[#This Row],[Зелений Тариф ЕЦ]]*Таб[[#This Row],[% надбавки]],4)</f>
        <v>0.16370000000000001</v>
      </c>
      <c r="S728" s="12"/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BD7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1.6100437485246681</v>
      </c>
      <c r="BE7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2.7762631206231809</v>
      </c>
      <c r="BF7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4.6837636320717602</v>
      </c>
      <c r="BG7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6.6573656463923196</v>
      </c>
      <c r="BH7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8.1965863561255805</v>
      </c>
      <c r="BI7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8.4987646549689195</v>
      </c>
      <c r="BJ7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8.6356891966323079</v>
      </c>
      <c r="BK7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7.4647482886143681</v>
      </c>
      <c r="BL7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5.2409048705641688</v>
      </c>
      <c r="BM7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3.3664551105515779</v>
      </c>
      <c r="BN7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1.558106853410969</v>
      </c>
      <c r="BO7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1.3173085215201827</v>
      </c>
      <c r="BP728">
        <f>SUM(Таб[[#This Row],[1]:[12]])</f>
        <v>60.005999999999993</v>
      </c>
    </row>
    <row r="729" spans="2:68" ht="38.25">
      <c r="B729" t="s">
        <v>384</v>
      </c>
      <c r="C729" t="str">
        <f>IFERROR(VLOOKUP(Таб[[#This Row],[Зелений Тариф ЕЦ]],Sheet6!$H$9:$I$29,2,FALSE),"")</f>
        <v>Дах</v>
      </c>
      <c r="G729" s="1" t="s">
        <v>1813</v>
      </c>
      <c r="H729" t="s">
        <v>101</v>
      </c>
      <c r="J729" s="7">
        <v>0.57899999999999996</v>
      </c>
      <c r="K729" s="8"/>
      <c r="L729" s="8">
        <v>43697</v>
      </c>
      <c r="M729">
        <v>8</v>
      </c>
      <c r="N729" s="49" t="s">
        <v>60</v>
      </c>
      <c r="O729">
        <v>2019</v>
      </c>
      <c r="P729">
        <v>0.16370000000000001</v>
      </c>
      <c r="Q729" s="10"/>
      <c r="R729" s="11">
        <f>ROUND(Таб[[#This Row],[Зелений Тариф ЕЦ]]+Таб[[#This Row],[Зелений Тариф ЕЦ]]*Таб[[#This Row],[% надбавки]],4)</f>
        <v>0.16370000000000001</v>
      </c>
      <c r="S729" s="12"/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BD7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18.644306607915652</v>
      </c>
      <c r="BE7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32.14912693681643</v>
      </c>
      <c r="BF7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54.237982859390975</v>
      </c>
      <c r="BG7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77.092294185223068</v>
      </c>
      <c r="BH7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94.916470003934222</v>
      </c>
      <c r="BI7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98.415694704540073</v>
      </c>
      <c r="BJ7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100.00128089700212</v>
      </c>
      <c r="BK7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86.441785182154376</v>
      </c>
      <c r="BL7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60.689678401133051</v>
      </c>
      <c r="BM7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38.983550180187258</v>
      </c>
      <c r="BN7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18.04287736249902</v>
      </c>
      <c r="BO7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15.254432679203713</v>
      </c>
      <c r="BP729">
        <f>SUM(Таб[[#This Row],[1]:[12]])</f>
        <v>694.86947999999984</v>
      </c>
    </row>
    <row r="730" spans="2:68" ht="63.75">
      <c r="B730" t="s">
        <v>384</v>
      </c>
      <c r="C730" t="str">
        <f>IFERROR(VLOOKUP(Таб[[#This Row],[Зелений Тариф ЕЦ]],Sheet6!$H$9:$I$29,2,FALSE),"")</f>
        <v>Дах</v>
      </c>
      <c r="G730" s="1" t="s">
        <v>1815</v>
      </c>
      <c r="H730" t="s">
        <v>69</v>
      </c>
      <c r="I730" t="s">
        <v>105</v>
      </c>
      <c r="J730" s="7">
        <v>0.13300000000000001</v>
      </c>
      <c r="K730" s="8"/>
      <c r="L730" s="8">
        <v>43697</v>
      </c>
      <c r="M730">
        <v>8</v>
      </c>
      <c r="N730" s="49" t="s">
        <v>60</v>
      </c>
      <c r="O730">
        <v>2019</v>
      </c>
      <c r="P730">
        <v>0.16370000000000001</v>
      </c>
      <c r="Q730" s="10"/>
      <c r="R730" s="11">
        <f>ROUND(Таб[[#This Row],[Зелений Тариф ЕЦ]]+Таб[[#This Row],[Зелений Тариф ЕЦ]]*Таб[[#This Row],[% надбавки]],4)</f>
        <v>0.16370000000000001</v>
      </c>
      <c r="S730" s="12"/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BD7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4.2827163710756162</v>
      </c>
      <c r="BE7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7.3848599008576601</v>
      </c>
      <c r="BF7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12.458811261310881</v>
      </c>
      <c r="BG7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17.708592619403575</v>
      </c>
      <c r="BH7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21.802919707294045</v>
      </c>
      <c r="BI7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22.606713982217329</v>
      </c>
      <c r="BJ7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22.970933263041942</v>
      </c>
      <c r="BK7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19.856230447714221</v>
      </c>
      <c r="BL7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13.940806955700687</v>
      </c>
      <c r="BM7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8.9547705940671953</v>
      </c>
      <c r="BN7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4.1445642300731773</v>
      </c>
      <c r="BO7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3.5040406672436863</v>
      </c>
      <c r="BP730">
        <f>SUM(Таб[[#This Row],[1]:[12]])</f>
        <v>159.61596</v>
      </c>
    </row>
    <row r="731" spans="2:68" ht="76.5">
      <c r="B731" t="s">
        <v>384</v>
      </c>
      <c r="C731" t="str">
        <f>IFERROR(VLOOKUP(Таб[[#This Row],[Зелений Тариф ЕЦ]],Sheet6!$H$9:$I$29,2,FALSE),"")</f>
        <v>Дах</v>
      </c>
      <c r="G731" s="1" t="s">
        <v>1817</v>
      </c>
      <c r="H731" t="s">
        <v>69</v>
      </c>
      <c r="J731" s="7">
        <v>0.13300000000000001</v>
      </c>
      <c r="K731" s="8"/>
      <c r="L731" s="8">
        <v>43697</v>
      </c>
      <c r="M731">
        <v>8</v>
      </c>
      <c r="N731" s="49" t="s">
        <v>60</v>
      </c>
      <c r="O731">
        <v>2019</v>
      </c>
      <c r="P731">
        <v>0.16370000000000001</v>
      </c>
      <c r="Q731" s="10"/>
      <c r="R731" s="11">
        <f>ROUND(Таб[[#This Row],[Зелений Тариф ЕЦ]]+Таб[[#This Row],[Зелений Тариф ЕЦ]]*Таб[[#This Row],[% надбавки]],4)</f>
        <v>0.16370000000000001</v>
      </c>
      <c r="S731" s="12"/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BD7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4.2827163710756162</v>
      </c>
      <c r="BE7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7.3848599008576601</v>
      </c>
      <c r="BF7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12.458811261310881</v>
      </c>
      <c r="BG7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17.708592619403575</v>
      </c>
      <c r="BH7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21.802919707294045</v>
      </c>
      <c r="BI7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22.606713982217329</v>
      </c>
      <c r="BJ7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22.970933263041942</v>
      </c>
      <c r="BK7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19.856230447714221</v>
      </c>
      <c r="BL7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13.940806955700687</v>
      </c>
      <c r="BM7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8.9547705940671953</v>
      </c>
      <c r="BN7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4.1445642300731773</v>
      </c>
      <c r="BO7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3.5040406672436863</v>
      </c>
      <c r="BP731">
        <f>SUM(Таб[[#This Row],[1]:[12]])</f>
        <v>159.61596</v>
      </c>
    </row>
    <row r="732" spans="2:68" ht="38.25">
      <c r="B732" t="s">
        <v>384</v>
      </c>
      <c r="C732" t="str">
        <f>IFERROR(VLOOKUP(Таб[[#This Row],[Зелений Тариф ЕЦ]],Sheet6!$H$9:$I$29,2,FALSE),"")</f>
        <v>Дах</v>
      </c>
      <c r="G732" s="1" t="s">
        <v>1819</v>
      </c>
      <c r="H732" t="s">
        <v>73</v>
      </c>
      <c r="J732" s="7">
        <v>1.8049999999999999</v>
      </c>
      <c r="K732" s="8"/>
      <c r="L732" s="8">
        <v>43697</v>
      </c>
      <c r="M732">
        <v>8</v>
      </c>
      <c r="N732" s="49" t="s">
        <v>60</v>
      </c>
      <c r="O732">
        <v>2019</v>
      </c>
      <c r="P732">
        <v>0.16370000000000001</v>
      </c>
      <c r="Q732" s="10"/>
      <c r="R732" s="11">
        <f>ROUND(Таб[[#This Row],[Зелений Тариф ЕЦ]]+Таб[[#This Row],[Зелений Тариф ЕЦ]]*Таб[[#This Row],[% надбавки]],4)</f>
        <v>0.16370000000000001</v>
      </c>
      <c r="S732" s="12"/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BD7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58.122579321740503</v>
      </c>
      <c r="BE7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100.22309865449681</v>
      </c>
      <c r="BF7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169.08386711779053</v>
      </c>
      <c r="BG7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240.33089983476276</v>
      </c>
      <c r="BH7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295.89676745613343</v>
      </c>
      <c r="BI7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306.80540404437795</v>
      </c>
      <c r="BJ7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311.74837999842634</v>
      </c>
      <c r="BK7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269.47741321897865</v>
      </c>
      <c r="BL7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189.19666582736645</v>
      </c>
      <c r="BM7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121.52902949091194</v>
      </c>
      <c r="BN7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56.247657408135964</v>
      </c>
      <c r="BO7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47.554837626878587</v>
      </c>
      <c r="BP732">
        <f>SUM(Таб[[#This Row],[1]:[12]])</f>
        <v>2166.2165999999997</v>
      </c>
    </row>
    <row r="733" spans="2:68" ht="38.25">
      <c r="B733" t="s">
        <v>384</v>
      </c>
      <c r="C733" t="str">
        <f>IFERROR(VLOOKUP(Таб[[#This Row],[Зелений Тариф ЕЦ]],Sheet6!$H$9:$I$29,2,FALSE),"")</f>
        <v>Земля</v>
      </c>
      <c r="D733" t="s">
        <v>3405</v>
      </c>
      <c r="F733" t="s">
        <v>3287</v>
      </c>
      <c r="G733" s="1" t="s">
        <v>1821</v>
      </c>
      <c r="H733" t="s">
        <v>172</v>
      </c>
      <c r="J733" s="7">
        <v>10.401999999999999</v>
      </c>
      <c r="K733" s="8"/>
      <c r="L733" s="8">
        <v>43700</v>
      </c>
      <c r="M733">
        <v>8</v>
      </c>
      <c r="N733" s="49" t="s">
        <v>60</v>
      </c>
      <c r="O733">
        <v>2019</v>
      </c>
      <c r="P733">
        <v>0.15029999999999999</v>
      </c>
      <c r="Q733" s="10">
        <v>0.05</v>
      </c>
      <c r="R733" s="11">
        <f>ROUND(Таб[[#This Row],[Зелений Тариф ЕЦ]]+Таб[[#This Row],[Зелений Тариф ЕЦ]]*Таб[[#This Row],[% надбавки]],4)</f>
        <v>0.1578</v>
      </c>
      <c r="S733" s="12">
        <v>43700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BD7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334.95350144307184</v>
      </c>
      <c r="BE7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577.57377961444638</v>
      </c>
      <c r="BF7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974.41018601620885</v>
      </c>
      <c r="BG7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1384.9983490754582</v>
      </c>
      <c r="BH7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1705.2178255283654</v>
      </c>
      <c r="BI7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1768.0829988197338</v>
      </c>
      <c r="BJ7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1796.5687804673853</v>
      </c>
      <c r="BK7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1552.9662339633333</v>
      </c>
      <c r="BL7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1090.3178492721695</v>
      </c>
      <c r="BM7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700.35732119915008</v>
      </c>
      <c r="BN7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324.14854978361791</v>
      </c>
      <c r="BO7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274.05286481705878</v>
      </c>
      <c r="BP733">
        <f>SUM(Таб[[#This Row],[1]:[12]])</f>
        <v>12483.648239999997</v>
      </c>
    </row>
    <row r="734" spans="2:68" ht="51">
      <c r="B734" t="s">
        <v>384</v>
      </c>
      <c r="C734" t="str">
        <f>IFERROR(VLOOKUP(Таб[[#This Row],[Зелений Тариф ЕЦ]],Sheet6!$H$9:$I$29,2,FALSE),"")</f>
        <v>Земля</v>
      </c>
      <c r="G734" s="1" t="s">
        <v>1823</v>
      </c>
      <c r="H734" t="s">
        <v>172</v>
      </c>
      <c r="J734" s="7">
        <v>3.2080000000000002</v>
      </c>
      <c r="K734" s="8"/>
      <c r="L734" s="8">
        <v>43700</v>
      </c>
      <c r="M734">
        <v>8</v>
      </c>
      <c r="N734" s="49" t="s">
        <v>60</v>
      </c>
      <c r="O734">
        <v>2019</v>
      </c>
      <c r="P734">
        <v>0.15029999999999999</v>
      </c>
      <c r="Q734" s="10"/>
      <c r="R734" s="11">
        <f>ROUND(Таб[[#This Row],[Зелений Тариф ЕЦ]]+Таб[[#This Row],[Зелений Тариф ЕЦ]]*Таб[[#This Row],[% надбавки]],4)</f>
        <v>0.15029999999999999</v>
      </c>
      <c r="S734" s="12"/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BD7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103.3004069053427</v>
      </c>
      <c r="BE7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178.12504181918328</v>
      </c>
      <c r="BF7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300.51027463372418</v>
      </c>
      <c r="BG7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427.13657987253129</v>
      </c>
      <c r="BH7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525.89298060901717</v>
      </c>
      <c r="BI7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545.28074026280592</v>
      </c>
      <c r="BJ7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554.06581885592891</v>
      </c>
      <c r="BK7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478.93825019749784</v>
      </c>
      <c r="BL7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336.256456495397</v>
      </c>
      <c r="BM7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215.99175989298919</v>
      </c>
      <c r="BN7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99.968135714847776</v>
      </c>
      <c r="BO7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84.518514740734929</v>
      </c>
      <c r="BP734">
        <f>SUM(Таб[[#This Row],[1]:[12]])</f>
        <v>3849.9849600000007</v>
      </c>
    </row>
    <row r="735" spans="2:68" ht="38.25">
      <c r="B735" t="s">
        <v>384</v>
      </c>
      <c r="C735" t="str">
        <f>IFERROR(VLOOKUP(Таб[[#This Row],[Зелений Тариф ЕЦ]],Sheet6!$H$9:$I$29,2,FALSE),"")</f>
        <v>Земля</v>
      </c>
      <c r="G735" s="1" t="s">
        <v>1825</v>
      </c>
      <c r="H735" t="s">
        <v>65</v>
      </c>
      <c r="J735" s="7">
        <v>2.42</v>
      </c>
      <c r="K735" s="8"/>
      <c r="L735" s="8">
        <v>43700</v>
      </c>
      <c r="M735">
        <v>8</v>
      </c>
      <c r="N735" s="49" t="s">
        <v>60</v>
      </c>
      <c r="O735">
        <v>2019</v>
      </c>
      <c r="P735">
        <v>0.15029999999999999</v>
      </c>
      <c r="Q735" s="10"/>
      <c r="R735" s="11">
        <f>ROUND(Таб[[#This Row],[Зелений Тариф ЕЦ]]+Таб[[#This Row],[Зелений Тариф ЕЦ]]*Таб[[#This Row],[% надбавки]],4)</f>
        <v>0.15029999999999999</v>
      </c>
      <c r="S735" s="12"/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BD7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77.926117428593926</v>
      </c>
      <c r="BE7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134.37113503816192</v>
      </c>
      <c r="BF7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226.69415979227315</v>
      </c>
      <c r="BG7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322.2164972853883</v>
      </c>
      <c r="BH7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396.714779636478</v>
      </c>
      <c r="BI7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411.34020930049576</v>
      </c>
      <c r="BJ7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417.9673571170037</v>
      </c>
      <c r="BK7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361.29381716893539</v>
      </c>
      <c r="BL7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253.65979573530569</v>
      </c>
      <c r="BM7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162.93642735069636</v>
      </c>
      <c r="BN7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75.412371705090891</v>
      </c>
      <c r="BO7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63.757732441576835</v>
      </c>
      <c r="BP735">
        <f>SUM(Таб[[#This Row],[1]:[12]])</f>
        <v>2904.2903999999999</v>
      </c>
    </row>
    <row r="736" spans="2:68" ht="51">
      <c r="B736" t="s">
        <v>384</v>
      </c>
      <c r="C736" t="str">
        <f>IFERROR(VLOOKUP(Таб[[#This Row],[Зелений Тариф ЕЦ]],Sheet6!$H$9:$I$29,2,FALSE),"")</f>
        <v>Земля</v>
      </c>
      <c r="G736" s="1" t="s">
        <v>1827</v>
      </c>
      <c r="H736" t="s">
        <v>82</v>
      </c>
      <c r="J736" s="7">
        <v>6.0019999999999998</v>
      </c>
      <c r="K736" s="8"/>
      <c r="L736" s="8">
        <v>43700</v>
      </c>
      <c r="M736">
        <v>8</v>
      </c>
      <c r="N736" s="49" t="s">
        <v>60</v>
      </c>
      <c r="O736">
        <v>2019</v>
      </c>
      <c r="P736">
        <v>0.15029999999999999</v>
      </c>
      <c r="Q736" s="10"/>
      <c r="R736" s="11">
        <f>ROUND(Таб[[#This Row],[Зелений Тариф ЕЦ]]+Таб[[#This Row],[Зелений Тариф ЕЦ]]*Таб[[#This Row],[% надбавки]],4)</f>
        <v>0.15029999999999999</v>
      </c>
      <c r="S736" s="12"/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BD7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193.26965157290115</v>
      </c>
      <c r="BE7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333.26262499960654</v>
      </c>
      <c r="BF7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562.23898639389404</v>
      </c>
      <c r="BG7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799.15017219293406</v>
      </c>
      <c r="BH7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983.91822618931462</v>
      </c>
      <c r="BI7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1020.1917091824691</v>
      </c>
      <c r="BJ7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1036.6281311637422</v>
      </c>
      <c r="BK7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896.06838456526873</v>
      </c>
      <c r="BL7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629.11822066252262</v>
      </c>
      <c r="BM7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404.10927147061136</v>
      </c>
      <c r="BN7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187.03514668345269</v>
      </c>
      <c r="BO7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158.12971492328273</v>
      </c>
      <c r="BP736">
        <f>SUM(Таб[[#This Row],[1]:[12]])</f>
        <v>7203.1202399999993</v>
      </c>
    </row>
    <row r="737" spans="2:68" ht="51">
      <c r="B737" t="s">
        <v>384</v>
      </c>
      <c r="C737" t="str">
        <f>IFERROR(VLOOKUP(Таб[[#This Row],[Зелений Тариф ЕЦ]],Sheet6!$H$9:$I$29,2,FALSE),"")</f>
        <v>Земля</v>
      </c>
      <c r="G737" s="1" t="s">
        <v>1829</v>
      </c>
      <c r="H737" t="s">
        <v>107</v>
      </c>
      <c r="J737" s="7">
        <v>1.1819999999999999</v>
      </c>
      <c r="K737" s="8"/>
      <c r="L737" s="8">
        <v>43700</v>
      </c>
      <c r="M737">
        <v>8</v>
      </c>
      <c r="N737" s="49" t="s">
        <v>60</v>
      </c>
      <c r="O737">
        <v>2019</v>
      </c>
      <c r="P737">
        <v>0.15029999999999999</v>
      </c>
      <c r="Q737" s="10"/>
      <c r="R737" s="11">
        <f>ROUND(Таб[[#This Row],[Зелений Тариф ЕЦ]]+Таб[[#This Row],[Зелений Тариф ЕЦ]]*Таб[[#This Row],[% надбавки]],4)</f>
        <v>0.15029999999999999</v>
      </c>
      <c r="S737" s="12"/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BD7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38.061434215123143</v>
      </c>
      <c r="BE7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65.630860171531978</v>
      </c>
      <c r="BF7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110.72417226217641</v>
      </c>
      <c r="BG7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157.38012388071445</v>
      </c>
      <c r="BH7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193.76730145880873</v>
      </c>
      <c r="BI7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200.9107964434653</v>
      </c>
      <c r="BJ7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204.14769260838779</v>
      </c>
      <c r="BK7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176.46664954284364</v>
      </c>
      <c r="BL7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123.89499114013691</v>
      </c>
      <c r="BM7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79.582998813439275</v>
      </c>
      <c r="BN7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36.833646014635299</v>
      </c>
      <c r="BO7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31.141173448737113</v>
      </c>
      <c r="BP737">
        <f>SUM(Таб[[#This Row],[1]:[12]])</f>
        <v>1418.5418400000001</v>
      </c>
    </row>
    <row r="738" spans="2:68" ht="38.25">
      <c r="B738" t="s">
        <v>384</v>
      </c>
      <c r="C738" t="str">
        <f>IFERROR(VLOOKUP(Таб[[#This Row],[Зелений Тариф ЕЦ]],Sheet6!$H$9:$I$29,2,FALSE),"")</f>
        <v>Земля</v>
      </c>
      <c r="G738" s="1" t="s">
        <v>1831</v>
      </c>
      <c r="H738" t="s">
        <v>65</v>
      </c>
      <c r="J738" s="7">
        <v>1.0640000000000001</v>
      </c>
      <c r="K738" s="8"/>
      <c r="L738" s="8">
        <v>43700</v>
      </c>
      <c r="M738">
        <v>8</v>
      </c>
      <c r="N738" s="49" t="s">
        <v>60</v>
      </c>
      <c r="O738">
        <v>2019</v>
      </c>
      <c r="P738">
        <v>0.15029999999999999</v>
      </c>
      <c r="Q738" s="10"/>
      <c r="R738" s="11">
        <f>ROUND(Таб[[#This Row],[Зелений Тариф ЕЦ]]+Таб[[#This Row],[Зелений Тариф ЕЦ]]*Таб[[#This Row],[% надбавки]],4)</f>
        <v>0.15029999999999999</v>
      </c>
      <c r="S738" s="12"/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BD7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34.26173096860493</v>
      </c>
      <c r="BE7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59.078879206861281</v>
      </c>
      <c r="BF7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99.67049009048705</v>
      </c>
      <c r="BG7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141.6687409552286</v>
      </c>
      <c r="BH7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174.42335765835236</v>
      </c>
      <c r="BI7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180.85371185773863</v>
      </c>
      <c r="BJ7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183.76746610433554</v>
      </c>
      <c r="BK7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158.84984358171377</v>
      </c>
      <c r="BL7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111.52645564560549</v>
      </c>
      <c r="BM7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71.638164752537563</v>
      </c>
      <c r="BN7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33.156513840585419</v>
      </c>
      <c r="BO7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28.032325337949491</v>
      </c>
      <c r="BP738">
        <f>SUM(Таб[[#This Row],[1]:[12]])</f>
        <v>1276.92768</v>
      </c>
    </row>
    <row r="739" spans="2:68" ht="89.25">
      <c r="B739" t="s">
        <v>384</v>
      </c>
      <c r="C739" t="str">
        <f>IFERROR(VLOOKUP(Таб[[#This Row],[Зелений Тариф ЕЦ]],Sheet6!$H$9:$I$29,2,FALSE),"")</f>
        <v>Дах</v>
      </c>
      <c r="G739" s="1" t="s">
        <v>1833</v>
      </c>
      <c r="H739" t="s">
        <v>233</v>
      </c>
      <c r="J739" s="7">
        <v>0.309</v>
      </c>
      <c r="K739" s="8"/>
      <c r="L739" s="8">
        <v>43700</v>
      </c>
      <c r="M739">
        <v>8</v>
      </c>
      <c r="N739" s="49" t="s">
        <v>60</v>
      </c>
      <c r="O739">
        <v>2019</v>
      </c>
      <c r="P739">
        <v>0.16370000000000001</v>
      </c>
      <c r="Q739" s="10"/>
      <c r="R739" s="11">
        <f>ROUND(Таб[[#This Row],[Зелений Тариф ЕЦ]]+Таб[[#This Row],[Зелений Тариф ЕЦ]]*Таб[[#This Row],[% надбавки]],4)</f>
        <v>0.16370000000000001</v>
      </c>
      <c r="S739" s="12"/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BD7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9.9500703658824463</v>
      </c>
      <c r="BE7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17.157306085451253</v>
      </c>
      <c r="BF7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28.945659246203476</v>
      </c>
      <c r="BG7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41.142519694704539</v>
      </c>
      <c r="BH7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50.65490368085608</v>
      </c>
      <c r="BI7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52.522365567707922</v>
      </c>
      <c r="BJ7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53.368559235187668</v>
      </c>
      <c r="BK7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46.132144423636795</v>
      </c>
      <c r="BL7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32.388792100086555</v>
      </c>
      <c r="BM7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20.804692583208748</v>
      </c>
      <c r="BN7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9.629100354079787</v>
      </c>
      <c r="BO7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8.1409666629947282</v>
      </c>
      <c r="BP739">
        <f>SUM(Таб[[#This Row],[1]:[12]])</f>
        <v>370.83708000000007</v>
      </c>
    </row>
    <row r="740" spans="2:68" ht="38.25">
      <c r="B740" t="s">
        <v>384</v>
      </c>
      <c r="C740" t="str">
        <f>IFERROR(VLOOKUP(Таб[[#This Row],[Зелений Тариф ЕЦ]],Sheet6!$H$9:$I$29,2,FALSE),"")</f>
        <v>Земля</v>
      </c>
      <c r="D740" t="s">
        <v>3383</v>
      </c>
      <c r="F740" t="s">
        <v>3287</v>
      </c>
      <c r="G740" s="1" t="s">
        <v>1836</v>
      </c>
      <c r="H740" t="s">
        <v>82</v>
      </c>
      <c r="J740" s="7">
        <v>11.11</v>
      </c>
      <c r="K740" s="8"/>
      <c r="L740" s="8">
        <v>43707</v>
      </c>
      <c r="M740">
        <v>8</v>
      </c>
      <c r="N740" s="49" t="s">
        <v>60</v>
      </c>
      <c r="O740">
        <v>2019</v>
      </c>
      <c r="P740">
        <v>0.15029999999999999</v>
      </c>
      <c r="Q740" s="10"/>
      <c r="R740" s="11">
        <f>ROUND(Таб[[#This Row],[Зелений Тариф ЕЦ]]+Таб[[#This Row],[Зелений Тариф ЕЦ]]*Таб[[#This Row],[% надбавки]],4)</f>
        <v>0.15029999999999999</v>
      </c>
      <c r="S740" s="12"/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BD7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357.75172092218116</v>
      </c>
      <c r="BE7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616.88566540247075</v>
      </c>
      <c r="BF7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1040.732279046345</v>
      </c>
      <c r="BG7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1479.2666466283736</v>
      </c>
      <c r="BH7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1821.2814883311039</v>
      </c>
      <c r="BI7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1888.4255063340938</v>
      </c>
      <c r="BJ7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1918.8501394916989</v>
      </c>
      <c r="BK7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1658.6670697301124</v>
      </c>
      <c r="BL7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1164.5290622393579</v>
      </c>
      <c r="BM7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748.02632556456047</v>
      </c>
      <c r="BN7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346.21134282791729</v>
      </c>
      <c r="BO7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292.70595348178455</v>
      </c>
      <c r="BP740">
        <f>SUM(Таб[[#This Row],[1]:[12]])</f>
        <v>13333.333200000001</v>
      </c>
    </row>
    <row r="741" spans="2:68" ht="38.25">
      <c r="B741" t="s">
        <v>384</v>
      </c>
      <c r="C741" t="str">
        <f>IFERROR(VLOOKUP(Таб[[#This Row],[Зелений Тариф ЕЦ]],Sheet6!$H$9:$I$29,2,FALSE),"")</f>
        <v>Земля</v>
      </c>
      <c r="D741" t="s">
        <v>3383</v>
      </c>
      <c r="F741" t="s">
        <v>3287</v>
      </c>
      <c r="G741" s="1" t="s">
        <v>1836</v>
      </c>
      <c r="H741" t="s">
        <v>82</v>
      </c>
      <c r="J741" s="7">
        <v>11.11</v>
      </c>
      <c r="K741" s="8"/>
      <c r="L741" s="8">
        <v>43707</v>
      </c>
      <c r="M741">
        <v>8</v>
      </c>
      <c r="N741" s="49" t="s">
        <v>60</v>
      </c>
      <c r="O741">
        <v>2019</v>
      </c>
      <c r="P741">
        <v>0.15029999999999999</v>
      </c>
      <c r="Q741" s="10"/>
      <c r="R741" s="11">
        <f>ROUND(Таб[[#This Row],[Зелений Тариф ЕЦ]]+Таб[[#This Row],[Зелений Тариф ЕЦ]]*Таб[[#This Row],[% надбавки]],4)</f>
        <v>0.15029999999999999</v>
      </c>
      <c r="S741" s="12"/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BD7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357.75172092218116</v>
      </c>
      <c r="BE7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616.88566540247075</v>
      </c>
      <c r="BF7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1040.732279046345</v>
      </c>
      <c r="BG7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1479.2666466283736</v>
      </c>
      <c r="BH7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1821.2814883311039</v>
      </c>
      <c r="BI7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1888.4255063340938</v>
      </c>
      <c r="BJ7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1918.8501394916989</v>
      </c>
      <c r="BK7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1658.6670697301124</v>
      </c>
      <c r="BL7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1164.5290622393579</v>
      </c>
      <c r="BM7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748.02632556456047</v>
      </c>
      <c r="BN7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346.21134282791729</v>
      </c>
      <c r="BO7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292.70595348178455</v>
      </c>
      <c r="BP741">
        <f>SUM(Таб[[#This Row],[1]:[12]])</f>
        <v>13333.333200000001</v>
      </c>
    </row>
    <row r="742" spans="2:68" ht="51">
      <c r="B742" t="s">
        <v>384</v>
      </c>
      <c r="C742" t="str">
        <f>IFERROR(VLOOKUP(Таб[[#This Row],[Зелений Тариф ЕЦ]],Sheet6!$H$9:$I$29,2,FALSE),"")</f>
        <v>Земля</v>
      </c>
      <c r="G742" s="1" t="s">
        <v>1841</v>
      </c>
      <c r="H742" t="s">
        <v>82</v>
      </c>
      <c r="J742" s="7">
        <v>1.026</v>
      </c>
      <c r="K742" s="8"/>
      <c r="L742" s="8">
        <v>43707</v>
      </c>
      <c r="M742">
        <v>8</v>
      </c>
      <c r="N742" s="49" t="s">
        <v>60</v>
      </c>
      <c r="O742">
        <v>2019</v>
      </c>
      <c r="P742">
        <v>0.15029999999999999</v>
      </c>
      <c r="Q742" s="10"/>
      <c r="R742" s="11">
        <f>ROUND(Таб[[#This Row],[Зелений Тариф ЕЦ]]+Таб[[#This Row],[Зелений Тариф ЕЦ]]*Таб[[#This Row],[% надбавки]],4)</f>
        <v>0.15029999999999999</v>
      </c>
      <c r="S742" s="12"/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BD7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33.038097719726188</v>
      </c>
      <c r="BE7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56.968919235187663</v>
      </c>
      <c r="BF7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96.110829730112499</v>
      </c>
      <c r="BG7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136.60914306397041</v>
      </c>
      <c r="BH7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168.19395202769692</v>
      </c>
      <c r="BI7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174.39465071996224</v>
      </c>
      <c r="BJ7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177.20434231489494</v>
      </c>
      <c r="BK7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153.17663488236684</v>
      </c>
      <c r="BL7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107.54336794397673</v>
      </c>
      <c r="BM7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69.079658868518365</v>
      </c>
      <c r="BN7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31.972352631993083</v>
      </c>
      <c r="BO7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27.031170861594148</v>
      </c>
      <c r="BP742">
        <f>SUM(Таб[[#This Row],[1]:[12]])</f>
        <v>1231.32312</v>
      </c>
    </row>
    <row r="743" spans="2:68" ht="38.25">
      <c r="B743" t="s">
        <v>384</v>
      </c>
      <c r="C743" t="str">
        <f>IFERROR(VLOOKUP(Таб[[#This Row],[Зелений Тариф ЕЦ]],Sheet6!$H$9:$I$29,2,FALSE),"")</f>
        <v>Дах</v>
      </c>
      <c r="G743" s="1" t="s">
        <v>1843</v>
      </c>
      <c r="H743" t="s">
        <v>141</v>
      </c>
      <c r="J743" s="7">
        <v>0.436</v>
      </c>
      <c r="K743" s="8"/>
      <c r="L743" s="8">
        <v>43707</v>
      </c>
      <c r="M743">
        <v>8</v>
      </c>
      <c r="N743" s="49" t="s">
        <v>60</v>
      </c>
      <c r="O743">
        <v>2019</v>
      </c>
      <c r="P743">
        <v>0.16370000000000001</v>
      </c>
      <c r="Q743" s="10"/>
      <c r="R743" s="11">
        <f>ROUND(Таб[[#This Row],[Зелений Тариф ЕЦ]]+Таб[[#This Row],[Зелений Тариф ЕЦ]]*Таб[[#This Row],[% надбавки]],4)</f>
        <v>0.16370000000000001</v>
      </c>
      <c r="S743" s="12"/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BD7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14.039581487135102</v>
      </c>
      <c r="BE7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24.209014411834133</v>
      </c>
      <c r="BF7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40.842418871665743</v>
      </c>
      <c r="BG7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58.052228436541043</v>
      </c>
      <c r="BH7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71.47423302541506</v>
      </c>
      <c r="BI7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74.109227791328976</v>
      </c>
      <c r="BJ7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75.303209794633716</v>
      </c>
      <c r="BK7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65.092605076717291</v>
      </c>
      <c r="BL7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45.70069047131954</v>
      </c>
      <c r="BM7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29.355488564009754</v>
      </c>
      <c r="BN7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13.586691761743648</v>
      </c>
      <c r="BO7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11.486930307655992</v>
      </c>
      <c r="BP743">
        <f>SUM(Таб[[#This Row],[1]:[12]])</f>
        <v>523.25232000000005</v>
      </c>
    </row>
    <row r="744" spans="2:68" ht="38.25">
      <c r="B744" t="s">
        <v>384</v>
      </c>
      <c r="C744" t="str">
        <f>IFERROR(VLOOKUP(Таб[[#This Row],[Зелений Тариф ЕЦ]],Sheet6!$H$9:$I$29,2,FALSE),"")</f>
        <v>Земля</v>
      </c>
      <c r="D744" t="s">
        <v>3366</v>
      </c>
      <c r="F744" t="s">
        <v>3287</v>
      </c>
      <c r="G744" s="1" t="s">
        <v>1846</v>
      </c>
      <c r="H744" t="s">
        <v>69</v>
      </c>
      <c r="J744" s="7">
        <v>13.067</v>
      </c>
      <c r="K744" s="8"/>
      <c r="L744" s="8">
        <v>43718</v>
      </c>
      <c r="M744">
        <v>9</v>
      </c>
      <c r="N744" s="49" t="s">
        <v>60</v>
      </c>
      <c r="O744">
        <v>2019</v>
      </c>
      <c r="P744">
        <v>0.15029999999999999</v>
      </c>
      <c r="Q744" s="10"/>
      <c r="R744" s="11">
        <f>ROUND(Таб[[#This Row],[Зелений Тариф ЕЦ]]+Таб[[#This Row],[Зелений Тариф ЕЦ]]*Таб[[#This Row],[% надбавки]],4)</f>
        <v>0.15029999999999999</v>
      </c>
      <c r="S744" s="12"/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BD7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420.76883323943673</v>
      </c>
      <c r="BE7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725.54860394366187</v>
      </c>
      <c r="BF7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1224.0547876056337</v>
      </c>
      <c r="BG7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1739.835938028169</v>
      </c>
      <c r="BH7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2142.095878309859</v>
      </c>
      <c r="BI7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2221.0671549295776</v>
      </c>
      <c r="BJ7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2256.851014647887</v>
      </c>
      <c r="BK7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1950.8373177464791</v>
      </c>
      <c r="BL7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1369.6580788732394</v>
      </c>
      <c r="BM7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879.78937859154917</v>
      </c>
      <c r="BN7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407.19564507042253</v>
      </c>
      <c r="BO7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344.26540901408453</v>
      </c>
      <c r="BP744">
        <f>SUM(Таб[[#This Row],[1]:[12]])</f>
        <v>15681.968039999998</v>
      </c>
    </row>
    <row r="745" spans="2:68" ht="51">
      <c r="B745" t="s">
        <v>384</v>
      </c>
      <c r="C745" t="str">
        <f>IFERROR(VLOOKUP(Таб[[#This Row],[Зелений Тариф ЕЦ]],Sheet6!$H$9:$I$29,2,FALSE),"")</f>
        <v>Земля</v>
      </c>
      <c r="D745" t="s">
        <v>3362</v>
      </c>
      <c r="F745" t="s">
        <v>3287</v>
      </c>
      <c r="G745" s="1" t="s">
        <v>3360</v>
      </c>
      <c r="H745" t="s">
        <v>69</v>
      </c>
      <c r="J745" s="7">
        <v>10.358000000000001</v>
      </c>
      <c r="K745" s="8"/>
      <c r="L745" s="8">
        <v>43718</v>
      </c>
      <c r="M745">
        <v>9</v>
      </c>
      <c r="N745" s="49" t="s">
        <v>60</v>
      </c>
      <c r="O745">
        <v>2019</v>
      </c>
      <c r="P745">
        <v>0.15029999999999999</v>
      </c>
      <c r="Q745" s="10"/>
      <c r="R745" s="11">
        <f>ROUND(Таб[[#This Row],[Зелений Тариф ЕЦ]]+Таб[[#This Row],[Зелений Тариф ЕЦ]]*Таб[[#This Row],[% надбавки]],4)</f>
        <v>0.15029999999999999</v>
      </c>
      <c r="S745" s="12"/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BD7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333.53666294437022</v>
      </c>
      <c r="BE7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575.13066806829806</v>
      </c>
      <c r="BF7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970.28847401998576</v>
      </c>
      <c r="BG7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1379.1398673066331</v>
      </c>
      <c r="BH7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1698.004829534975</v>
      </c>
      <c r="BI7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1760.6040859233617</v>
      </c>
      <c r="BJ7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1788.9693739743489</v>
      </c>
      <c r="BK7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1546.3972554693523</v>
      </c>
      <c r="BL7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1085.7058529860728</v>
      </c>
      <c r="BM7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697.39484070186484</v>
      </c>
      <c r="BN7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322.77741575261632</v>
      </c>
      <c r="BO7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272.89363331812103</v>
      </c>
      <c r="BP745">
        <f>SUM(Таб[[#This Row],[1]:[12]])</f>
        <v>12430.84296</v>
      </c>
    </row>
    <row r="746" spans="2:68" ht="51">
      <c r="B746" t="s">
        <v>384</v>
      </c>
      <c r="C746" t="str">
        <f>IFERROR(VLOOKUP(Таб[[#This Row],[Зелений Тариф ЕЦ]],Sheet6!$H$9:$I$29,2,FALSE),"")</f>
        <v>Дах</v>
      </c>
      <c r="G746" s="1" t="s">
        <v>1852</v>
      </c>
      <c r="H746" t="s">
        <v>98</v>
      </c>
      <c r="J746" s="7">
        <v>0.18099999999999999</v>
      </c>
      <c r="K746" s="8"/>
      <c r="L746" s="8">
        <v>43718</v>
      </c>
      <c r="M746">
        <v>9</v>
      </c>
      <c r="N746" s="49" t="s">
        <v>60</v>
      </c>
      <c r="O746">
        <v>2019</v>
      </c>
      <c r="P746">
        <v>0.16370000000000001</v>
      </c>
      <c r="Q746" s="10"/>
      <c r="R746" s="11">
        <f>ROUND(Таб[[#This Row],[Зелений Тариф ЕЦ]]+Таб[[#This Row],[Зелений Тариф ЕЦ]]*Таб[[#This Row],[% надбавки]],4)</f>
        <v>0.16370000000000001</v>
      </c>
      <c r="S746" s="12"/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BD7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5.8283583696592975</v>
      </c>
      <c r="BE7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10.050072496655911</v>
      </c>
      <c r="BF7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16.955224348099772</v>
      </c>
      <c r="BG7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24.0996636399402</v>
      </c>
      <c r="BH7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29.671642609174601</v>
      </c>
      <c r="BI7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30.765528050987488</v>
      </c>
      <c r="BJ7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31.261194891808948</v>
      </c>
      <c r="BK7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27.022388804784011</v>
      </c>
      <c r="BL7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18.972075631442284</v>
      </c>
      <c r="BM7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12.186567500196709</v>
      </c>
      <c r="BN7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5.6403468093477072</v>
      </c>
      <c r="BO7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4.7686568479030615</v>
      </c>
      <c r="BP746">
        <f>SUM(Таб[[#This Row],[1]:[12]])</f>
        <v>217.22171999999998</v>
      </c>
    </row>
    <row r="747" spans="2:68" ht="38.25">
      <c r="B747" t="s">
        <v>384</v>
      </c>
      <c r="C747" t="str">
        <f>IFERROR(VLOOKUP(Таб[[#This Row],[Зелений Тариф ЕЦ]],Sheet6!$H$9:$I$29,2,FALSE),"")</f>
        <v>Земля</v>
      </c>
      <c r="D747" t="s">
        <v>3413</v>
      </c>
      <c r="F747" t="s">
        <v>3287</v>
      </c>
      <c r="G747" s="1" t="s">
        <v>1854</v>
      </c>
      <c r="H747" t="s">
        <v>62</v>
      </c>
      <c r="I747" t="s">
        <v>1856</v>
      </c>
      <c r="J747" s="7">
        <v>14.676</v>
      </c>
      <c r="K747" s="8"/>
      <c r="L747" s="8">
        <v>43721</v>
      </c>
      <c r="M747">
        <v>9</v>
      </c>
      <c r="N747" s="49" t="s">
        <v>60</v>
      </c>
      <c r="O747">
        <v>2019</v>
      </c>
      <c r="P747">
        <v>0.15029999999999999</v>
      </c>
      <c r="Q747" s="10"/>
      <c r="R747" s="11">
        <f>ROUND(Таб[[#This Row],[Зелений Тариф ЕЦ]]+Таб[[#This Row],[Зелений Тариф ЕЦ]]*Таб[[#This Row],[% надбавки]],4)</f>
        <v>0.15029999999999999</v>
      </c>
      <c r="S747" s="12"/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BD7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472.58004106696046</v>
      </c>
      <c r="BE7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814.88875116531608</v>
      </c>
      <c r="BF7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1374.778301285703</v>
      </c>
      <c r="BG7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1954.069964529074</v>
      </c>
      <c r="BH7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2405.8620272499802</v>
      </c>
      <c r="BI7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2494.5574015264774</v>
      </c>
      <c r="BJ7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2534.7474929955147</v>
      </c>
      <c r="BK7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2191.0529176740893</v>
      </c>
      <c r="BL7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1538.3103976079947</v>
      </c>
      <c r="BM7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988.12190404909904</v>
      </c>
      <c r="BN7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457.33552361318755</v>
      </c>
      <c r="BO7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386.65639723660399</v>
      </c>
      <c r="BP747">
        <f>SUM(Таб[[#This Row],[1]:[12]])</f>
        <v>17612.96112</v>
      </c>
    </row>
    <row r="748" spans="2:68" ht="38.25">
      <c r="B748" t="s">
        <v>384</v>
      </c>
      <c r="C748" t="str">
        <f>IFERROR(VLOOKUP(Таб[[#This Row],[Зелений Тариф ЕЦ]],Sheet6!$H$9:$I$29,2,FALSE),"")</f>
        <v>Дах</v>
      </c>
      <c r="G748" s="1" t="s">
        <v>1859</v>
      </c>
      <c r="H748" t="s">
        <v>65</v>
      </c>
      <c r="I748" t="s">
        <v>1860</v>
      </c>
      <c r="J748" s="7">
        <v>0.437</v>
      </c>
      <c r="K748" s="8"/>
      <c r="L748" s="8">
        <v>43721</v>
      </c>
      <c r="M748">
        <v>9</v>
      </c>
      <c r="N748" s="49" t="s">
        <v>60</v>
      </c>
      <c r="O748">
        <v>2019</v>
      </c>
      <c r="P748">
        <v>0.16370000000000001</v>
      </c>
      <c r="Q748" s="10"/>
      <c r="R748" s="11">
        <f>ROUND(Таб[[#This Row],[Зелений Тариф ЕЦ]]+Таб[[#This Row],[Зелений Тариф ЕЦ]]*Таб[[#This Row],[% надбавки]],4)</f>
        <v>0.16370000000000001</v>
      </c>
      <c r="S748" s="12"/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BD7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14.071782362105596</v>
      </c>
      <c r="BE7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24.264539674246599</v>
      </c>
      <c r="BF7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40.936094144307184</v>
      </c>
      <c r="BG7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58.185375749468875</v>
      </c>
      <c r="BH7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71.638164752537577</v>
      </c>
      <c r="BI7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74.27920308442836</v>
      </c>
      <c r="BJ7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75.475923578566366</v>
      </c>
      <c r="BK7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65.24190004248959</v>
      </c>
      <c r="BL7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45.805508568730829</v>
      </c>
      <c r="BM7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29.422817666220787</v>
      </c>
      <c r="BN7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13.61785389881187</v>
      </c>
      <c r="BO7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11.513276478086397</v>
      </c>
      <c r="BP748">
        <f>SUM(Таб[[#This Row],[1]:[12]])</f>
        <v>524.45244000000002</v>
      </c>
    </row>
    <row r="749" spans="2:68" ht="38.25">
      <c r="B749" t="s">
        <v>384</v>
      </c>
      <c r="C749" t="str">
        <f>IFERROR(VLOOKUP(Таб[[#This Row],[Зелений Тариф ЕЦ]],Sheet6!$H$9:$I$29,2,FALSE),"")</f>
        <v>Земля</v>
      </c>
      <c r="G749" s="1" t="s">
        <v>1862</v>
      </c>
      <c r="H749" t="s">
        <v>198</v>
      </c>
      <c r="J749" s="7">
        <v>0.89200000000000002</v>
      </c>
      <c r="K749" s="8"/>
      <c r="L749" s="8">
        <v>43721</v>
      </c>
      <c r="M749">
        <v>9</v>
      </c>
      <c r="N749" s="49" t="s">
        <v>60</v>
      </c>
      <c r="O749">
        <v>2019</v>
      </c>
      <c r="P749">
        <v>0.15029999999999999</v>
      </c>
      <c r="Q749" s="10"/>
      <c r="R749" s="11">
        <f>ROUND(Таб[[#This Row],[Зелений Тариф ЕЦ]]+Таб[[#This Row],[Зелений Тариф ЕЦ]]*Таб[[#This Row],[% надбавки]],4)</f>
        <v>0.15029999999999999</v>
      </c>
      <c r="S749" s="12"/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BD7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28.723180473680074</v>
      </c>
      <c r="BE7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49.528534071917541</v>
      </c>
      <c r="BF7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83.558343196160195</v>
      </c>
      <c r="BG7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118.767403131639</v>
      </c>
      <c r="BH7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146.22710059328034</v>
      </c>
      <c r="BI7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151.61796144464552</v>
      </c>
      <c r="BJ7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154.06069526792038</v>
      </c>
      <c r="BK7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133.17110946888033</v>
      </c>
      <c r="BL7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93.497742890864743</v>
      </c>
      <c r="BM7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60.057559172240147</v>
      </c>
      <c r="BN7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27.796626264851689</v>
      </c>
      <c r="BO7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23.500784023920058</v>
      </c>
      <c r="BP749">
        <f>SUM(Таб[[#This Row],[1]:[12]])</f>
        <v>1070.50704</v>
      </c>
    </row>
    <row r="750" spans="2:68" ht="38.25">
      <c r="B750" t="s">
        <v>384</v>
      </c>
      <c r="C750" t="str">
        <f>IFERROR(VLOOKUP(Таб[[#This Row],[Зелений Тариф ЕЦ]],Sheet6!$H$9:$I$29,2,FALSE),"")</f>
        <v>Земля</v>
      </c>
      <c r="G750" s="1" t="s">
        <v>1863</v>
      </c>
      <c r="H750" t="s">
        <v>82</v>
      </c>
      <c r="J750" s="7">
        <v>2.85</v>
      </c>
      <c r="K750" s="8"/>
      <c r="L750" s="8">
        <v>43721</v>
      </c>
      <c r="M750">
        <v>9</v>
      </c>
      <c r="N750" s="49" t="s">
        <v>60</v>
      </c>
      <c r="O750">
        <v>2019</v>
      </c>
      <c r="P750">
        <v>0.15029999999999999</v>
      </c>
      <c r="Q750" s="10"/>
      <c r="R750" s="11">
        <f>ROUND(Таб[[#This Row],[Зелений Тариф ЕЦ]]+Таб[[#This Row],[Зелений Тариф ЕЦ]]*Таб[[#This Row],[% надбавки]],4)</f>
        <v>0.15029999999999999</v>
      </c>
      <c r="S750" s="12"/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BD7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91.772493665906069</v>
      </c>
      <c r="BE7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158.24699787552129</v>
      </c>
      <c r="BF7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266.97452702809034</v>
      </c>
      <c r="BG7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379.46984184436229</v>
      </c>
      <c r="BH7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467.20542229915804</v>
      </c>
      <c r="BI7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484.42958533322837</v>
      </c>
      <c r="BJ7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492.23428420804152</v>
      </c>
      <c r="BK7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425.49065245101906</v>
      </c>
      <c r="BL7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298.73157762215754</v>
      </c>
      <c r="BM7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191.88794130143992</v>
      </c>
      <c r="BN7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88.812090644425226</v>
      </c>
      <c r="BO7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75.086585726650412</v>
      </c>
      <c r="BP750">
        <f>SUM(Таб[[#This Row],[1]:[12]])</f>
        <v>3420.3420000000006</v>
      </c>
    </row>
    <row r="751" spans="2:68" ht="38.25">
      <c r="B751" t="s">
        <v>384</v>
      </c>
      <c r="C751" t="str">
        <f>IFERROR(VLOOKUP(Таб[[#This Row],[Зелений Тариф ЕЦ]],Sheet6!$H$9:$I$29,2,FALSE),"")</f>
        <v>Земля</v>
      </c>
      <c r="G751" s="1" t="s">
        <v>1864</v>
      </c>
      <c r="H751" t="s">
        <v>185</v>
      </c>
      <c r="J751" s="7">
        <v>4.6399999999999997</v>
      </c>
      <c r="K751" s="8"/>
      <c r="L751" s="8">
        <v>43732</v>
      </c>
      <c r="M751">
        <v>9</v>
      </c>
      <c r="N751" s="49" t="s">
        <v>60</v>
      </c>
      <c r="O751">
        <v>2019</v>
      </c>
      <c r="P751">
        <v>0.15029999999999999</v>
      </c>
      <c r="Q751" s="10"/>
      <c r="R751" s="11">
        <f>ROUND(Таб[[#This Row],[Зелений Тариф ЕЦ]]+Таб[[#This Row],[Зелений Тариф ЕЦ]]*Таб[[#This Row],[% надбавки]],4)</f>
        <v>0.15029999999999999</v>
      </c>
      <c r="S751" s="12"/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BD7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149.41205986308915</v>
      </c>
      <c r="BE7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257.63721759383111</v>
      </c>
      <c r="BF7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434.65326505625933</v>
      </c>
      <c r="BG7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617.80353198520731</v>
      </c>
      <c r="BH7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760.64321384845391</v>
      </c>
      <c r="BI7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788.68535998111565</v>
      </c>
      <c r="BJ7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801.39195744747826</v>
      </c>
      <c r="BK7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692.72864118341329</v>
      </c>
      <c r="BL7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486.35597198835467</v>
      </c>
      <c r="BM7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312.40703425918639</v>
      </c>
      <c r="BN7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144.59231599653791</v>
      </c>
      <c r="BO7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122.24623079707294</v>
      </c>
      <c r="BP751">
        <f>SUM(Таб[[#This Row],[1]:[12]])</f>
        <v>5568.5568000000003</v>
      </c>
    </row>
    <row r="752" spans="2:68" ht="38.25">
      <c r="B752" t="s">
        <v>384</v>
      </c>
      <c r="C752" t="str">
        <f>IFERROR(VLOOKUP(Таб[[#This Row],[Зелений Тариф ЕЦ]],Sheet6!$H$9:$I$29,2,FALSE),"")</f>
        <v>Земля</v>
      </c>
      <c r="G752" s="1" t="s">
        <v>1865</v>
      </c>
      <c r="H752" t="s">
        <v>198</v>
      </c>
      <c r="J752" s="7">
        <v>3.226</v>
      </c>
      <c r="K752" s="8"/>
      <c r="L752" s="8">
        <v>43732</v>
      </c>
      <c r="M752">
        <v>9</v>
      </c>
      <c r="N752" s="49" t="s">
        <v>60</v>
      </c>
      <c r="O752">
        <v>2019</v>
      </c>
      <c r="P752">
        <v>0.15029999999999999</v>
      </c>
      <c r="Q752" s="10"/>
      <c r="R752" s="11">
        <f>ROUND(Таб[[#This Row],[Зелений Тариф ЕЦ]]+Таб[[#This Row],[Зелений Тариф ЕЦ]]*Таб[[#This Row],[% надбавки]],4)</f>
        <v>0.15029999999999999</v>
      </c>
      <c r="S752" s="12"/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BD7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103.88002265481154</v>
      </c>
      <c r="BE7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179.1244965426076</v>
      </c>
      <c r="BF7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302.19642954126994</v>
      </c>
      <c r="BG7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429.53323150523244</v>
      </c>
      <c r="BH7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528.8437516972225</v>
      </c>
      <c r="BI7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548.34029553859466</v>
      </c>
      <c r="BJ7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557.17466696671647</v>
      </c>
      <c r="BK7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481.62555958139899</v>
      </c>
      <c r="BL7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338.14318224880009</v>
      </c>
      <c r="BM7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217.20368373278774</v>
      </c>
      <c r="BN7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100.5290541820757</v>
      </c>
      <c r="BO7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84.992745808482184</v>
      </c>
      <c r="BP752">
        <f>SUM(Таб[[#This Row],[1]:[12]])</f>
        <v>3871.5871200000001</v>
      </c>
    </row>
    <row r="753" spans="2:68" ht="51">
      <c r="B753" t="s">
        <v>384</v>
      </c>
      <c r="C753" t="str">
        <f>IFERROR(VLOOKUP(Таб[[#This Row],[Зелений Тариф ЕЦ]],Sheet6!$H$9:$I$29,2,FALSE),"")</f>
        <v>Земля</v>
      </c>
      <c r="G753" s="1" t="s">
        <v>1866</v>
      </c>
      <c r="H753" t="s">
        <v>185</v>
      </c>
      <c r="J753" s="7">
        <v>2.5390000000000001</v>
      </c>
      <c r="K753" s="8"/>
      <c r="L753" s="8">
        <v>43732</v>
      </c>
      <c r="M753">
        <v>9</v>
      </c>
      <c r="N753" s="49" t="s">
        <v>60</v>
      </c>
      <c r="O753">
        <v>2019</v>
      </c>
      <c r="P753">
        <v>0.15029999999999999</v>
      </c>
      <c r="Q753" s="10"/>
      <c r="R753" s="11">
        <f>ROUND(Таб[[#This Row],[Зелений Тариф ЕЦ]]+Таб[[#This Row],[Зелений Тариф ЕЦ]]*Таб[[#This Row],[% надбавки]],4)</f>
        <v>0.15029999999999999</v>
      </c>
      <c r="S753" s="12"/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BD7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81.758021550082631</v>
      </c>
      <c r="BE7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140.97864126524513</v>
      </c>
      <c r="BF7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237.84151723660401</v>
      </c>
      <c r="BG7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338.06102752380201</v>
      </c>
      <c r="BH7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416.22265516405696</v>
      </c>
      <c r="BI7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431.56726917932178</v>
      </c>
      <c r="BJ7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438.52029740498858</v>
      </c>
      <c r="BK7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379.05991809583765</v>
      </c>
      <c r="BL7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266.13314932724847</v>
      </c>
      <c r="BM7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170.94859051380911</v>
      </c>
      <c r="BN7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79.120666016209</v>
      </c>
      <c r="BO7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66.892926722794883</v>
      </c>
      <c r="BP753">
        <f>SUM(Таб[[#This Row],[1]:[12]])</f>
        <v>3047.1046799999995</v>
      </c>
    </row>
    <row r="754" spans="2:68" ht="25.5">
      <c r="B754" t="s">
        <v>384</v>
      </c>
      <c r="C754" t="str">
        <f>IFERROR(VLOOKUP(Таб[[#This Row],[Зелений Тариф ЕЦ]],Sheet6!$H$9:$I$29,2,FALSE),"")</f>
        <v>Дах</v>
      </c>
      <c r="G754" s="1" t="s">
        <v>1867</v>
      </c>
      <c r="H754" t="s">
        <v>172</v>
      </c>
      <c r="J754" s="7">
        <v>0.51500000000000001</v>
      </c>
      <c r="K754" s="8"/>
      <c r="L754" s="8">
        <v>43732</v>
      </c>
      <c r="M754">
        <v>9</v>
      </c>
      <c r="N754" s="49" t="s">
        <v>60</v>
      </c>
      <c r="O754">
        <v>2019</v>
      </c>
      <c r="P754">
        <v>0.16370000000000001</v>
      </c>
      <c r="Q754" s="10"/>
      <c r="R754" s="11">
        <f>ROUND(Таб[[#This Row],[Зелений Тариф ЕЦ]]+Таб[[#This Row],[Зелений Тариф ЕЦ]]*Таб[[#This Row],[% надбавки]],4)</f>
        <v>0.16370000000000001</v>
      </c>
      <c r="S754" s="12"/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BD7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16.583450609804078</v>
      </c>
      <c r="BE7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28.59551014241876</v>
      </c>
      <c r="BF7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48.242765410339132</v>
      </c>
      <c r="BG7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68.570866157840896</v>
      </c>
      <c r="BH7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84.424839468093481</v>
      </c>
      <c r="BI7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87.537275946179875</v>
      </c>
      <c r="BJ7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88.947598725312758</v>
      </c>
      <c r="BK7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76.88690737272799</v>
      </c>
      <c r="BL7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53.981320166810931</v>
      </c>
      <c r="BM7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34.674487638681249</v>
      </c>
      <c r="BN7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16.048500590132981</v>
      </c>
      <c r="BO7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13.568277771657881</v>
      </c>
      <c r="BP754">
        <f>SUM(Таб[[#This Row],[1]:[12]])</f>
        <v>618.06180000000006</v>
      </c>
    </row>
    <row r="755" spans="2:68" ht="38.25">
      <c r="B755" t="s">
        <v>384</v>
      </c>
      <c r="C755" t="str">
        <f>IFERROR(VLOOKUP(Таб[[#This Row],[Зелений Тариф ЕЦ]],Sheet6!$H$9:$I$29,2,FALSE),"")</f>
        <v>Земля</v>
      </c>
      <c r="G755" s="1" t="s">
        <v>1868</v>
      </c>
      <c r="H755" t="s">
        <v>73</v>
      </c>
      <c r="J755" s="7">
        <v>1.992</v>
      </c>
      <c r="K755" s="8"/>
      <c r="L755" s="8">
        <v>43732</v>
      </c>
      <c r="M755">
        <v>9</v>
      </c>
      <c r="N755" s="49" t="s">
        <v>60</v>
      </c>
      <c r="O755">
        <v>2019</v>
      </c>
      <c r="P755">
        <v>0.15029999999999999</v>
      </c>
      <c r="Q755" s="10"/>
      <c r="R755" s="11">
        <f>ROUND(Таб[[#This Row],[Зелений Тариф ЕЦ]]+Таб[[#This Row],[Зелений Тариф ЕЦ]]*Таб[[#This Row],[% надбавки]],4)</f>
        <v>0.15029999999999999</v>
      </c>
      <c r="S755" s="12"/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BD7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64.144142941222768</v>
      </c>
      <c r="BE7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110.60632272562751</v>
      </c>
      <c r="BF7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186.60114310173893</v>
      </c>
      <c r="BG7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265.22944735227003</v>
      </c>
      <c r="BH7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326.55200042804313</v>
      </c>
      <c r="BI7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338.5907838539618</v>
      </c>
      <c r="BJ7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344.04585759383116</v>
      </c>
      <c r="BK7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297.39557181839643</v>
      </c>
      <c r="BL7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208.79765004327643</v>
      </c>
      <c r="BM7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134.11957160437484</v>
      </c>
      <c r="BN7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62.074977039893</v>
      </c>
      <c r="BO7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52.481571497364072</v>
      </c>
      <c r="BP755">
        <f>SUM(Таб[[#This Row],[1]:[12]])</f>
        <v>2390.6390400000005</v>
      </c>
    </row>
    <row r="756" spans="2:68" ht="38.25">
      <c r="B756" t="s">
        <v>384</v>
      </c>
      <c r="C756" t="str">
        <f>IFERROR(VLOOKUP(Таб[[#This Row],[Зелений Тариф ЕЦ]],Sheet6!$H$9:$I$29,2,FALSE),"")</f>
        <v>Дах</v>
      </c>
      <c r="G756" s="1" t="s">
        <v>1869</v>
      </c>
      <c r="H756" t="s">
        <v>122</v>
      </c>
      <c r="J756" s="7">
        <v>1.052</v>
      </c>
      <c r="K756" s="8"/>
      <c r="L756" s="8">
        <v>43732</v>
      </c>
      <c r="M756">
        <v>9</v>
      </c>
      <c r="N756" s="49" t="s">
        <v>60</v>
      </c>
      <c r="O756">
        <v>2019</v>
      </c>
      <c r="P756">
        <v>0.16370000000000001</v>
      </c>
      <c r="Q756" s="10"/>
      <c r="R756" s="11">
        <f>ROUND(Таб[[#This Row],[Зелений Тариф ЕЦ]]+Таб[[#This Row],[Зелений Тариф ЕЦ]]*Таб[[#This Row],[% надбавки]],4)</f>
        <v>0.16370000000000001</v>
      </c>
      <c r="S756" s="12"/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BD7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33.875320468959011</v>
      </c>
      <c r="BE7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58.412576057911728</v>
      </c>
      <c r="BF7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98.546386818789841</v>
      </c>
      <c r="BG7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140.07097320009444</v>
      </c>
      <c r="BH7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172.45617693288222</v>
      </c>
      <c r="BI7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178.81400834054608</v>
      </c>
      <c r="BJ7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181.69490069714374</v>
      </c>
      <c r="BK7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157.0583039924463</v>
      </c>
      <c r="BL7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110.26863847667011</v>
      </c>
      <c r="BM7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70.83021552600519</v>
      </c>
      <c r="BN7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32.782568195766785</v>
      </c>
      <c r="BO7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27.71617129278464</v>
      </c>
      <c r="BP756">
        <f>SUM(Таб[[#This Row],[1]:[12]])</f>
        <v>1262.5262399999999</v>
      </c>
    </row>
    <row r="757" spans="2:68" ht="25.5">
      <c r="B757" t="s">
        <v>384</v>
      </c>
      <c r="C757" t="str">
        <f>IFERROR(VLOOKUP(Таб[[#This Row],[Зелений Тариф ЕЦ]],Sheet6!$H$9:$I$29,2,FALSE),"")</f>
        <v>Земля</v>
      </c>
      <c r="D757" t="s">
        <v>3414</v>
      </c>
      <c r="F757" t="s">
        <v>3287</v>
      </c>
      <c r="G757" s="1" t="s">
        <v>1870</v>
      </c>
      <c r="H757" t="s">
        <v>122</v>
      </c>
      <c r="J757" s="29">
        <v>11.19</v>
      </c>
      <c r="K757" s="8"/>
      <c r="L757" s="8">
        <v>43741</v>
      </c>
      <c r="M757">
        <v>10</v>
      </c>
      <c r="N757" s="49" t="s">
        <v>71</v>
      </c>
      <c r="O757">
        <v>2019</v>
      </c>
      <c r="P757">
        <v>0.15029999999999999</v>
      </c>
      <c r="Q757" s="10"/>
      <c r="R757" s="11">
        <f>ROUND(Таб[[#This Row],[Зелений Тариф ЕЦ]]+Таб[[#This Row],[Зелений Тариф ЕЦ]]*Таб[[#This Row],[% надбавки]],4)</f>
        <v>0.15029999999999999</v>
      </c>
      <c r="S757" s="12"/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BD7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360.3277909198207</v>
      </c>
      <c r="BE7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621.32768639546771</v>
      </c>
      <c r="BF7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1048.2263008576597</v>
      </c>
      <c r="BG7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1489.9184316626011</v>
      </c>
      <c r="BH7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1834.396026500905</v>
      </c>
      <c r="BI7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1902.0235297820441</v>
      </c>
      <c r="BJ7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1932.6672422063104</v>
      </c>
      <c r="BK7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1670.6106669918954</v>
      </c>
      <c r="BL7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1172.9145100322608</v>
      </c>
      <c r="BM7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753.41265374144291</v>
      </c>
      <c r="BN7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348.70431379337481</v>
      </c>
      <c r="BO7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294.81364711621683</v>
      </c>
      <c r="BP757">
        <f>SUM(Таб[[#This Row],[1]:[12]])</f>
        <v>13429.342799999999</v>
      </c>
    </row>
    <row r="758" spans="2:68" ht="51">
      <c r="B758" t="s">
        <v>384</v>
      </c>
      <c r="C758" t="str">
        <f>IFERROR(VLOOKUP(Таб[[#This Row],[Зелений Тариф ЕЦ]],Sheet6!$H$9:$I$29,2,FALSE),"")</f>
        <v>Земля</v>
      </c>
      <c r="G758" s="1" t="s">
        <v>1872</v>
      </c>
      <c r="H758" t="s">
        <v>73</v>
      </c>
      <c r="J758" s="29">
        <v>6.2069999999999999</v>
      </c>
      <c r="K758" s="8"/>
      <c r="L758" s="8">
        <v>43741</v>
      </c>
      <c r="M758">
        <v>10</v>
      </c>
      <c r="N758" s="49" t="s">
        <v>71</v>
      </c>
      <c r="O758">
        <v>2019</v>
      </c>
      <c r="P758">
        <v>0.15029999999999999</v>
      </c>
      <c r="Q758" s="10"/>
      <c r="R758" s="11">
        <f>ROUND(Таб[[#This Row],[Зелений Тариф ЕЦ]]+Таб[[#This Row],[Зелений Тариф ЕЦ]]*Таб[[#This Row],[% надбавки]],4)</f>
        <v>0.15029999999999999</v>
      </c>
      <c r="S758" s="12"/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BD7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199.87083094185229</v>
      </c>
      <c r="BE7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344.64530379416158</v>
      </c>
      <c r="BF7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581.44241728538827</v>
      </c>
      <c r="BG7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826.4453713431426</v>
      </c>
      <c r="BH7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1017.5242302494296</v>
      </c>
      <c r="BI7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1055.0366442678417</v>
      </c>
      <c r="BJ7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1072.0344568699347</v>
      </c>
      <c r="BK7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926.67385254858755</v>
      </c>
      <c r="BL7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650.60593063183569</v>
      </c>
      <c r="BM7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417.91173742387281</v>
      </c>
      <c r="BN7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193.42338478243767</v>
      </c>
      <c r="BO7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163.53067986151547</v>
      </c>
      <c r="BP758">
        <f>SUM(Таб[[#This Row],[1]:[12]])</f>
        <v>7449.1448399999999</v>
      </c>
    </row>
    <row r="759" spans="2:68" ht="38.25">
      <c r="B759" t="s">
        <v>384</v>
      </c>
      <c r="C759" t="str">
        <f>IFERROR(VLOOKUP(Таб[[#This Row],[Зелений Тариф ЕЦ]],Sheet6!$H$9:$I$29,2,FALSE),"")</f>
        <v>Земля</v>
      </c>
      <c r="G759" s="1" t="s">
        <v>1875</v>
      </c>
      <c r="H759" t="s">
        <v>107</v>
      </c>
      <c r="J759" s="29">
        <v>0.996</v>
      </c>
      <c r="K759" s="8"/>
      <c r="L759" s="8">
        <v>43741</v>
      </c>
      <c r="M759">
        <v>10</v>
      </c>
      <c r="N759" s="49" t="s">
        <v>71</v>
      </c>
      <c r="O759">
        <v>2019</v>
      </c>
      <c r="P759">
        <v>0.15029999999999999</v>
      </c>
      <c r="Q759" s="10"/>
      <c r="R759" s="11">
        <f>ROUND(Таб[[#This Row],[Зелений Тариф ЕЦ]]+Таб[[#This Row],[Зелений Тариф ЕЦ]]*Таб[[#This Row],[% надбавки]],4)</f>
        <v>0.15029999999999999</v>
      </c>
      <c r="S759" s="12"/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BD7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32.072071470611384</v>
      </c>
      <c r="BE7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55.303161362813753</v>
      </c>
      <c r="BF7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93.300571550869464</v>
      </c>
      <c r="BG7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132.61472367613501</v>
      </c>
      <c r="BH7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163.27600021402156</v>
      </c>
      <c r="BI7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169.2953919269809</v>
      </c>
      <c r="BJ7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172.02292879691558</v>
      </c>
      <c r="BK7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148.69778590919822</v>
      </c>
      <c r="BL7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104.39882502163822</v>
      </c>
      <c r="BM7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67.05978580218742</v>
      </c>
      <c r="BN7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31.0374885199465</v>
      </c>
      <c r="BO7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26.240785748682036</v>
      </c>
      <c r="BP759">
        <f>SUM(Таб[[#This Row],[1]:[12]])</f>
        <v>1195.3195200000002</v>
      </c>
    </row>
    <row r="760" spans="2:68" ht="38.25">
      <c r="B760" t="s">
        <v>384</v>
      </c>
      <c r="C760" t="str">
        <f>IFERROR(VLOOKUP(Таб[[#This Row],[Зелений Тариф ЕЦ]],Sheet6!$H$9:$I$29,2,FALSE),"")</f>
        <v>Земля</v>
      </c>
      <c r="G760" s="1" t="s">
        <v>1878</v>
      </c>
      <c r="H760" t="s">
        <v>65</v>
      </c>
      <c r="J760" s="29">
        <v>8.3160000000000007</v>
      </c>
      <c r="K760" s="8"/>
      <c r="L760" s="8">
        <v>43741</v>
      </c>
      <c r="M760">
        <v>10</v>
      </c>
      <c r="N760" s="49" t="s">
        <v>71</v>
      </c>
      <c r="O760">
        <v>2019</v>
      </c>
      <c r="P760">
        <v>0.15029999999999999</v>
      </c>
      <c r="Q760" s="10"/>
      <c r="R760" s="11">
        <f>ROUND(Таб[[#This Row],[Зелений Тариф ЕЦ]]+Таб[[#This Row],[Зелений Тариф ЕЦ]]*Таб[[#This Row],[% надбавки]],4)</f>
        <v>0.15029999999999999</v>
      </c>
      <c r="S760" s="12"/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BD7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267.78247625462279</v>
      </c>
      <c r="BE7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461.74808222204751</v>
      </c>
      <c r="BF7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779.00356728617521</v>
      </c>
      <c r="BG7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1107.2530543079706</v>
      </c>
      <c r="BH7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1363.2562427508065</v>
      </c>
      <c r="BI7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1413.5145374144308</v>
      </c>
      <c r="BJ7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1436.2878271838854</v>
      </c>
      <c r="BK7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1241.5369353623419</v>
      </c>
      <c r="BL7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871.66729807223237</v>
      </c>
      <c r="BM7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559.90881398693841</v>
      </c>
      <c r="BN7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259.14433185931239</v>
      </c>
      <c r="BO7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219.0947532992368</v>
      </c>
      <c r="BP760">
        <f>SUM(Таб[[#This Row],[1]:[12]])</f>
        <v>9980.1979199999987</v>
      </c>
    </row>
    <row r="761" spans="2:68" ht="51">
      <c r="B761" t="s">
        <v>384</v>
      </c>
      <c r="C761" t="str">
        <f>IFERROR(VLOOKUP(Таб[[#This Row],[Зелений Тариф ЕЦ]],Sheet6!$H$9:$I$29,2,FALSE),"")</f>
        <v>Земля</v>
      </c>
      <c r="G761" s="1" t="s">
        <v>1881</v>
      </c>
      <c r="H761" t="s">
        <v>198</v>
      </c>
      <c r="J761" s="29">
        <v>5.3490000000000002</v>
      </c>
      <c r="K761" s="8"/>
      <c r="L761" s="8">
        <v>43741</v>
      </c>
      <c r="M761">
        <v>10</v>
      </c>
      <c r="N761" s="49" t="s">
        <v>71</v>
      </c>
      <c r="O761">
        <v>2019</v>
      </c>
      <c r="P761">
        <v>0.15029999999999999</v>
      </c>
      <c r="Q761" s="10"/>
      <c r="R761" s="11">
        <f>ROUND(Таб[[#This Row],[Зелений Тариф ЕЦ]]+Таб[[#This Row],[Зелений Тариф ЕЦ]]*Таб[[#This Row],[% надбавки]],4)</f>
        <v>0.15029999999999999</v>
      </c>
      <c r="S761" s="12"/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BD7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172.24248021716897</v>
      </c>
      <c r="BE7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297.00462864426788</v>
      </c>
      <c r="BF7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501.06903335903695</v>
      </c>
      <c r="BG7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712.20497685105045</v>
      </c>
      <c r="BH7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876.87080837831468</v>
      </c>
      <c r="BI7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909.19784278857514</v>
      </c>
      <c r="BJ7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923.84603025572437</v>
      </c>
      <c r="BK7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798.57877191596504</v>
      </c>
      <c r="BL7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560.67200305295466</v>
      </c>
      <c r="BM7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360.14336772680775</v>
      </c>
      <c r="BN7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166.68627117790547</v>
      </c>
      <c r="BO7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140.92566563222914</v>
      </c>
      <c r="BP761">
        <f>SUM(Таб[[#This Row],[1]:[12]])</f>
        <v>6419.4418800000021</v>
      </c>
    </row>
    <row r="762" spans="2:68" ht="63.75">
      <c r="B762" t="s">
        <v>384</v>
      </c>
      <c r="C762" t="str">
        <f>IFERROR(VLOOKUP(Таб[[#This Row],[Зелений Тариф ЕЦ]],Sheet6!$H$9:$I$29,2,FALSE),"")</f>
        <v>Земля</v>
      </c>
      <c r="G762" s="1" t="s">
        <v>1883</v>
      </c>
      <c r="H762" t="s">
        <v>65</v>
      </c>
      <c r="J762" s="29">
        <v>3.4140000000000001</v>
      </c>
      <c r="K762" s="8"/>
      <c r="L762" s="8">
        <v>43741</v>
      </c>
      <c r="M762">
        <v>10</v>
      </c>
      <c r="N762" s="49" t="s">
        <v>71</v>
      </c>
      <c r="O762">
        <v>2019</v>
      </c>
      <c r="P762">
        <v>0.15029999999999999</v>
      </c>
      <c r="Q762" s="10"/>
      <c r="R762" s="11">
        <f>ROUND(Таб[[#This Row],[Зелений Тариф ЕЦ]]+Таб[[#This Row],[Зелений Тариф ЕЦ]]*Таб[[#This Row],[% надбавки]],4)</f>
        <v>0.15029999999999999</v>
      </c>
      <c r="S762" s="12"/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BD7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109.93378714926433</v>
      </c>
      <c r="BE7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189.5632458761508</v>
      </c>
      <c r="BF7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319.80738079785976</v>
      </c>
      <c r="BG7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454.56492633566762</v>
      </c>
      <c r="BH7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559.66291639625467</v>
      </c>
      <c r="BI7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580.2956506412778</v>
      </c>
      <c r="BJ7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589.64485834605398</v>
      </c>
      <c r="BK7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509.69301314658912</v>
      </c>
      <c r="BL7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357.84898456212142</v>
      </c>
      <c r="BM7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229.86155494846173</v>
      </c>
      <c r="BN7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106.38753595090097</v>
      </c>
      <c r="BO7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89.945825849398062</v>
      </c>
      <c r="BP762">
        <f>SUM(Таб[[#This Row],[1]:[12]])</f>
        <v>4097.2096800000008</v>
      </c>
    </row>
    <row r="763" spans="2:68" ht="25.5">
      <c r="B763" t="s">
        <v>384</v>
      </c>
      <c r="C763" t="str">
        <f>IFERROR(VLOOKUP(Таб[[#This Row],[Зелений Тариф ЕЦ]],Sheet6!$H$9:$I$29,2,FALSE),"")</f>
        <v>Земля</v>
      </c>
      <c r="G763" s="1" t="s">
        <v>1886</v>
      </c>
      <c r="H763" t="s">
        <v>122</v>
      </c>
      <c r="J763" s="29">
        <v>3.5640000000000001</v>
      </c>
      <c r="K763" s="8"/>
      <c r="L763" s="8">
        <v>43741</v>
      </c>
      <c r="M763">
        <v>10</v>
      </c>
      <c r="N763" s="49" t="s">
        <v>71</v>
      </c>
      <c r="O763">
        <v>2019</v>
      </c>
      <c r="P763">
        <v>0.15029999999999999</v>
      </c>
      <c r="Q763" s="10"/>
      <c r="R763" s="11">
        <f>ROUND(Таб[[#This Row],[Зелений Тариф ЕЦ]]+Таб[[#This Row],[Зелений Тариф ЕЦ]]*Таб[[#This Row],[% надбавки]],4)</f>
        <v>0.15029999999999999</v>
      </c>
      <c r="S763" s="12"/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BD7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114.76391839483833</v>
      </c>
      <c r="BE7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197.8920352380203</v>
      </c>
      <c r="BF7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333.85867169407504</v>
      </c>
      <c r="BG7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474.53702327484461</v>
      </c>
      <c r="BH7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584.25267546463147</v>
      </c>
      <c r="BI7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605.79194460618464</v>
      </c>
      <c r="BJ7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615.55192593595098</v>
      </c>
      <c r="BK7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532.08725801243213</v>
      </c>
      <c r="BL7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373.5716991738139</v>
      </c>
      <c r="BM7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239.96092028011645</v>
      </c>
      <c r="BN7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111.06185651113387</v>
      </c>
      <c r="BO7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93.897751413958602</v>
      </c>
      <c r="BP763">
        <f>SUM(Таб[[#This Row],[1]:[12]])</f>
        <v>4277.2276800000009</v>
      </c>
    </row>
    <row r="764" spans="2:68" ht="51">
      <c r="B764" t="s">
        <v>384</v>
      </c>
      <c r="C764" t="str">
        <f>IFERROR(VLOOKUP(Таб[[#This Row],[Зелений Тариф ЕЦ]],Sheet6!$H$9:$I$29,2,FALSE),"")</f>
        <v>Земля</v>
      </c>
      <c r="D764" t="s">
        <v>3386</v>
      </c>
      <c r="E764" t="s">
        <v>3386</v>
      </c>
      <c r="F764" t="s">
        <v>3287</v>
      </c>
      <c r="G764" s="1" t="s">
        <v>1773</v>
      </c>
      <c r="H764" t="s">
        <v>98</v>
      </c>
      <c r="J764" s="29">
        <v>15.537000000000001</v>
      </c>
      <c r="K764" s="8"/>
      <c r="L764" s="8">
        <v>43741</v>
      </c>
      <c r="M764">
        <v>10</v>
      </c>
      <c r="N764" s="49" t="s">
        <v>71</v>
      </c>
      <c r="O764">
        <v>2019</v>
      </c>
      <c r="P764">
        <v>0.15029999999999999</v>
      </c>
      <c r="Q764" s="10"/>
      <c r="R764" s="11">
        <f>ROUND(Таб[[#This Row],[Зелений Тариф ЕЦ]]+Таб[[#This Row],[Зелений Тариф ЕЦ]]*Таб[[#This Row],[% надбавки]],4)</f>
        <v>0.15029999999999999</v>
      </c>
      <c r="S764" s="12"/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BD7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500.30499441655525</v>
      </c>
      <c r="BE7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862.6960021024471</v>
      </c>
      <c r="BF7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1455.4327110299787</v>
      </c>
      <c r="BG7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2068.7098009599495</v>
      </c>
      <c r="BH7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2547.0072443024628</v>
      </c>
      <c r="BI7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2640.9061288850426</v>
      </c>
      <c r="BJ7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2683.4540609615233</v>
      </c>
      <c r="BK7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2319.5958832040287</v>
      </c>
      <c r="BL7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1628.5587794791095</v>
      </c>
      <c r="BM7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1046.0922610527973</v>
      </c>
      <c r="BN7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484.16612362892448</v>
      </c>
      <c r="BO7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409.34044997718155</v>
      </c>
      <c r="BP764">
        <f>SUM(Таб[[#This Row],[1]:[12]])</f>
        <v>18646.264440000003</v>
      </c>
    </row>
    <row r="765" spans="2:68">
      <c r="B765" t="s">
        <v>384</v>
      </c>
      <c r="C765" t="str">
        <f>IFERROR(VLOOKUP(Таб[[#This Row],[Зелений Тариф ЕЦ]],Sheet6!$H$9:$I$29,2,FALSE),"")</f>
        <v>Земля</v>
      </c>
      <c r="G765" s="1" t="s">
        <v>1891</v>
      </c>
      <c r="H765" t="s">
        <v>122</v>
      </c>
      <c r="I765" t="s">
        <v>316</v>
      </c>
      <c r="J765" s="29">
        <v>1.081</v>
      </c>
      <c r="K765" s="8"/>
      <c r="L765" s="8">
        <v>43741</v>
      </c>
      <c r="M765">
        <v>10</v>
      </c>
      <c r="N765" s="49" t="s">
        <v>71</v>
      </c>
      <c r="O765">
        <v>2019</v>
      </c>
      <c r="P765">
        <v>0.15029999999999999</v>
      </c>
      <c r="Q765" s="10"/>
      <c r="R765" s="11">
        <f>ROUND(Таб[[#This Row],[Зелений Тариф ЕЦ]]+Таб[[#This Row],[Зелений Тариф ЕЦ]]*Таб[[#This Row],[% надбавки]],4)</f>
        <v>0.15029999999999999</v>
      </c>
      <c r="S765" s="12"/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BD7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34.809145843103316</v>
      </c>
      <c r="BE7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60.022808667873164</v>
      </c>
      <c r="BF7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101.26296972539143</v>
      </c>
      <c r="BG7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143.93224527500195</v>
      </c>
      <c r="BH7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177.21019701943504</v>
      </c>
      <c r="BI7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183.74329184042804</v>
      </c>
      <c r="BJ7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186.70360043119049</v>
      </c>
      <c r="BK7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161.38785799984265</v>
      </c>
      <c r="BL7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113.3083633015973</v>
      </c>
      <c r="BM7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72.782759490125102</v>
      </c>
      <c r="BN7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33.686270170745146</v>
      </c>
      <c r="BO7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28.480210235266348</v>
      </c>
      <c r="BP765">
        <f>SUM(Таб[[#This Row],[1]:[12]])</f>
        <v>1297.3297199999997</v>
      </c>
    </row>
    <row r="766" spans="2:68" ht="38.25">
      <c r="B766" t="s">
        <v>384</v>
      </c>
      <c r="C766" t="str">
        <f>IFERROR(VLOOKUP(Таб[[#This Row],[Зелений Тариф ЕЦ]],Sheet6!$H$9:$I$29,2,FALSE),"")</f>
        <v>Дах</v>
      </c>
      <c r="G766" s="1" t="s">
        <v>1698</v>
      </c>
      <c r="H766" t="s">
        <v>163</v>
      </c>
      <c r="I766" t="s">
        <v>1893</v>
      </c>
      <c r="J766" s="29">
        <v>0.55700000000000005</v>
      </c>
      <c r="K766" s="8"/>
      <c r="L766" s="8">
        <v>43741</v>
      </c>
      <c r="M766">
        <v>10</v>
      </c>
      <c r="N766" s="49" t="s">
        <v>71</v>
      </c>
      <c r="O766">
        <v>2019</v>
      </c>
      <c r="P766">
        <v>0.16370000000000001</v>
      </c>
      <c r="Q766" s="10"/>
      <c r="R766" s="11">
        <f>ROUND(Таб[[#This Row],[Зелений Тариф ЕЦ]]+Таб[[#This Row],[Зелений Тариф ЕЦ]]*Таб[[#This Row],[% надбавки]],4)</f>
        <v>0.16370000000000001</v>
      </c>
      <c r="S766" s="12"/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BD7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17.935887358564802</v>
      </c>
      <c r="BE7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30.927571163742236</v>
      </c>
      <c r="BF7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52.177126861279412</v>
      </c>
      <c r="BG7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74.163053300810446</v>
      </c>
      <c r="BH7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91.309972007238969</v>
      </c>
      <c r="BI7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94.676238256353784</v>
      </c>
      <c r="BJ7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96.201577650483898</v>
      </c>
      <c r="BK7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83.157295935164072</v>
      </c>
      <c r="BL7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58.383680258084837</v>
      </c>
      <c r="BM7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37.502309931544573</v>
      </c>
      <c r="BN7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17.357310346998197</v>
      </c>
      <c r="BO7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14.674816929734837</v>
      </c>
      <c r="BP766">
        <f>SUM(Таб[[#This Row],[1]:[12]])</f>
        <v>668.46684000000005</v>
      </c>
    </row>
    <row r="767" spans="2:68" ht="25.5">
      <c r="B767" t="s">
        <v>384</v>
      </c>
      <c r="C767" t="str">
        <f>IFERROR(VLOOKUP(Таб[[#This Row],[Зелений Тариф ЕЦ]],Sheet6!$H$9:$I$29,2,FALSE),"")</f>
        <v>Земля</v>
      </c>
      <c r="D767" t="s">
        <v>3408</v>
      </c>
      <c r="F767" t="s">
        <v>3287</v>
      </c>
      <c r="G767" s="1" t="s">
        <v>1895</v>
      </c>
      <c r="H767" t="s">
        <v>122</v>
      </c>
      <c r="J767" s="29">
        <v>11.19</v>
      </c>
      <c r="K767" s="8"/>
      <c r="L767" s="8">
        <v>43745</v>
      </c>
      <c r="M767">
        <v>10</v>
      </c>
      <c r="N767" s="49" t="s">
        <v>71</v>
      </c>
      <c r="O767">
        <v>2019</v>
      </c>
      <c r="P767">
        <v>0.15029999999999999</v>
      </c>
      <c r="Q767" s="10"/>
      <c r="R767" s="11">
        <f>ROUND(Таб[[#This Row],[Зелений Тариф ЕЦ]]+Таб[[#This Row],[Зелений Тариф ЕЦ]]*Таб[[#This Row],[% надбавки]],4)</f>
        <v>0.15029999999999999</v>
      </c>
      <c r="S767" s="12"/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BD7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360.3277909198207</v>
      </c>
      <c r="BE7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621.32768639546771</v>
      </c>
      <c r="BF7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1048.2263008576597</v>
      </c>
      <c r="BG7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1489.9184316626011</v>
      </c>
      <c r="BH7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1834.396026500905</v>
      </c>
      <c r="BI7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1902.0235297820441</v>
      </c>
      <c r="BJ7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1932.6672422063104</v>
      </c>
      <c r="BK7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1670.6106669918954</v>
      </c>
      <c r="BL7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1172.9145100322608</v>
      </c>
      <c r="BM7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753.41265374144291</v>
      </c>
      <c r="BN7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348.70431379337481</v>
      </c>
      <c r="BO7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294.81364711621683</v>
      </c>
      <c r="BP767">
        <f>SUM(Таб[[#This Row],[1]:[12]])</f>
        <v>13429.342799999999</v>
      </c>
    </row>
    <row r="768" spans="2:68" ht="51">
      <c r="B768" t="s">
        <v>384</v>
      </c>
      <c r="C768" t="str">
        <f>IFERROR(VLOOKUP(Таб[[#This Row],[Зелений Тариф ЕЦ]],Sheet6!$H$9:$I$29,2,FALSE),"")</f>
        <v>Земля</v>
      </c>
      <c r="D768" s="135" t="s">
        <v>3362</v>
      </c>
      <c r="E768" s="135"/>
      <c r="F768" s="135" t="s">
        <v>3287</v>
      </c>
      <c r="G768" s="1" t="s">
        <v>1897</v>
      </c>
      <c r="H768" t="s">
        <v>198</v>
      </c>
      <c r="J768" s="29">
        <v>11.536</v>
      </c>
      <c r="K768" s="8"/>
      <c r="L768" s="8">
        <v>43749</v>
      </c>
      <c r="M768">
        <v>10</v>
      </c>
      <c r="N768" s="49" t="s">
        <v>71</v>
      </c>
      <c r="O768">
        <v>2019</v>
      </c>
      <c r="P768">
        <v>0.15029999999999999</v>
      </c>
      <c r="Q768" s="10"/>
      <c r="R768" s="11">
        <f>ROUND(Таб[[#This Row],[Зелений Тариф ЕЦ]]+Таб[[#This Row],[Зелений Тариф ЕЦ]]*Таб[[#This Row],[% надбавки]],4)</f>
        <v>0.15029999999999999</v>
      </c>
      <c r="S768" s="12"/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BD7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371.46929365961137</v>
      </c>
      <c r="BE7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640.53942719018028</v>
      </c>
      <c r="BF7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1080.6379451915966</v>
      </c>
      <c r="BG7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1535.9874019356362</v>
      </c>
      <c r="BH7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1891.1164040852941</v>
      </c>
      <c r="BI7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1960.834981194429</v>
      </c>
      <c r="BJ7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1992.4262114470057</v>
      </c>
      <c r="BK7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1722.2667251491071</v>
      </c>
      <c r="BL7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1209.1815717365646</v>
      </c>
      <c r="BM7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776.70852310646001</v>
      </c>
      <c r="BN7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359.48641321897873</v>
      </c>
      <c r="BO7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303.92942208513654</v>
      </c>
      <c r="BP768">
        <f>SUM(Таб[[#This Row],[1]:[12]])</f>
        <v>13844.584320000002</v>
      </c>
    </row>
    <row r="769" spans="2:68" ht="38.25">
      <c r="B769" t="s">
        <v>384</v>
      </c>
      <c r="C769" t="str">
        <f>IFERROR(VLOOKUP(Таб[[#This Row],[Зелений Тариф ЕЦ]],Sheet6!$H$9:$I$29,2,FALSE),"")</f>
        <v>Земля</v>
      </c>
      <c r="G769" s="1" t="s">
        <v>1899</v>
      </c>
      <c r="H769" t="s">
        <v>73</v>
      </c>
      <c r="I769" t="s">
        <v>1901</v>
      </c>
      <c r="J769" s="29">
        <v>6.4029999999999996</v>
      </c>
      <c r="K769" s="8"/>
      <c r="L769" s="8">
        <v>43749</v>
      </c>
      <c r="M769">
        <v>10</v>
      </c>
      <c r="N769" s="49" t="s">
        <v>71</v>
      </c>
      <c r="O769">
        <v>2019</v>
      </c>
      <c r="P769">
        <v>0.15029999999999999</v>
      </c>
      <c r="Q769" s="10"/>
      <c r="R769" s="11">
        <f>ROUND(Таб[[#This Row],[Зелений Тариф ЕЦ]]+Таб[[#This Row],[Зелений Тариф ЕЦ]]*Таб[[#This Row],[% надбавки]],4)</f>
        <v>0.15029999999999999</v>
      </c>
      <c r="S769" s="12"/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BD7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206.18220243606893</v>
      </c>
      <c r="BE7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355.52825522700448</v>
      </c>
      <c r="BF7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599.80277072310946</v>
      </c>
      <c r="BG7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852.54224467700055</v>
      </c>
      <c r="BH7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1049.6548487654418</v>
      </c>
      <c r="BI7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1088.3518017153199</v>
      </c>
      <c r="BJ7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1105.8863585207332</v>
      </c>
      <c r="BK7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955.93566583995585</v>
      </c>
      <c r="BL7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671.15027772444728</v>
      </c>
      <c r="BM7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431.10824145723495</v>
      </c>
      <c r="BN7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199.53116364780865</v>
      </c>
      <c r="BO7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168.69452926587456</v>
      </c>
      <c r="BP769">
        <f>SUM(Таб[[#This Row],[1]:[12]])</f>
        <v>7684.3683599999995</v>
      </c>
    </row>
    <row r="770" spans="2:68" ht="38.25">
      <c r="B770" t="s">
        <v>384</v>
      </c>
      <c r="C770" t="str">
        <f>IFERROR(VLOOKUP(Таб[[#This Row],[Зелений Тариф ЕЦ]],Sheet6!$H$9:$I$29,2,FALSE),"")</f>
        <v>Земля</v>
      </c>
      <c r="D770" s="135" t="s">
        <v>3362</v>
      </c>
      <c r="E770" s="135"/>
      <c r="F770" s="135" t="s">
        <v>3287</v>
      </c>
      <c r="G770" s="1" t="s">
        <v>1903</v>
      </c>
      <c r="H770" t="s">
        <v>198</v>
      </c>
      <c r="I770" t="s">
        <v>1904</v>
      </c>
      <c r="J770" s="29">
        <v>7.9119999999999999</v>
      </c>
      <c r="K770" s="8"/>
      <c r="L770" s="8">
        <v>43749</v>
      </c>
      <c r="M770">
        <v>10</v>
      </c>
      <c r="N770" s="49" t="s">
        <v>71</v>
      </c>
      <c r="O770">
        <v>2019</v>
      </c>
      <c r="P770">
        <v>0.15029999999999999</v>
      </c>
      <c r="Q770" s="10"/>
      <c r="R770" s="11">
        <f>ROUND(Таб[[#This Row],[Зелений Тариф ЕЦ]]+Таб[[#This Row],[Зелений Тариф ЕЦ]]*Таб[[#This Row],[% надбавки]],4)</f>
        <v>0.15029999999999999</v>
      </c>
      <c r="S770" s="12"/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BD7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254.77332276654346</v>
      </c>
      <c r="BE7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439.31587620741203</v>
      </c>
      <c r="BF7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741.15875713903529</v>
      </c>
      <c r="BG7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1053.4615398851206</v>
      </c>
      <c r="BH7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1297.0278249933119</v>
      </c>
      <c r="BI7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1344.8445190022819</v>
      </c>
      <c r="BJ7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1366.5114584750963</v>
      </c>
      <c r="BK7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1181.2217691903375</v>
      </c>
      <c r="BL7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829.3207867180738</v>
      </c>
      <c r="BM7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532.70785669368161</v>
      </c>
      <c r="BN7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246.55482848375172</v>
      </c>
      <c r="BO7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208.45090044535368</v>
      </c>
      <c r="BP770">
        <f>SUM(Таб[[#This Row],[1]:[12]])</f>
        <v>9495.34944</v>
      </c>
    </row>
    <row r="771" spans="2:68" ht="38.25">
      <c r="B771" t="s">
        <v>384</v>
      </c>
      <c r="C771" t="str">
        <f>IFERROR(VLOOKUP(Таб[[#This Row],[Зелений Тариф ЕЦ]],Sheet6!$H$9:$I$29,2,FALSE),"")</f>
        <v>Земля</v>
      </c>
      <c r="G771" s="1" t="s">
        <v>1906</v>
      </c>
      <c r="H771" t="s">
        <v>1257</v>
      </c>
      <c r="I771" t="s">
        <v>1907</v>
      </c>
      <c r="J771" s="29">
        <v>0.84599999999999997</v>
      </c>
      <c r="K771" s="8"/>
      <c r="L771" s="8">
        <v>43749</v>
      </c>
      <c r="M771">
        <v>10</v>
      </c>
      <c r="N771" s="49" t="s">
        <v>71</v>
      </c>
      <c r="O771">
        <v>2019</v>
      </c>
      <c r="P771">
        <v>0.15029999999999999</v>
      </c>
      <c r="Q771" s="10"/>
      <c r="R771" s="11">
        <f>ROUND(Таб[[#This Row],[Зелений Тариф ЕЦ]]+Таб[[#This Row],[Зелений Тариф ЕЦ]]*Таб[[#This Row],[% надбавки]],4)</f>
        <v>0.15029999999999999</v>
      </c>
      <c r="S771" s="12"/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BD7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27.241940225037375</v>
      </c>
      <c r="BE7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46.974372000944214</v>
      </c>
      <c r="BF7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79.249280654654171</v>
      </c>
      <c r="BG7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112.64262673695805</v>
      </c>
      <c r="BH7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138.68624114564483</v>
      </c>
      <c r="BI7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143.79909796207411</v>
      </c>
      <c r="BJ7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146.11586120701864</v>
      </c>
      <c r="BK7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126.30354104335512</v>
      </c>
      <c r="BL7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88.676110409945707</v>
      </c>
      <c r="BM7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56.960420470532689</v>
      </c>
      <c r="BN7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26.363167959713586</v>
      </c>
      <c r="BO7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22.288860184121489</v>
      </c>
      <c r="BP771">
        <f>SUM(Таб[[#This Row],[1]:[12]])</f>
        <v>1015.30152</v>
      </c>
    </row>
    <row r="772" spans="2:68" ht="51">
      <c r="B772" t="s">
        <v>384</v>
      </c>
      <c r="C772" t="str">
        <f>IFERROR(VLOOKUP(Таб[[#This Row],[Зелений Тариф ЕЦ]],Sheet6!$H$9:$I$29,2,FALSE),"")</f>
        <v>Земля</v>
      </c>
      <c r="G772" s="1" t="s">
        <v>1909</v>
      </c>
      <c r="H772" t="s">
        <v>122</v>
      </c>
      <c r="I772" t="s">
        <v>369</v>
      </c>
      <c r="J772" s="29">
        <v>5.702</v>
      </c>
      <c r="K772" s="8"/>
      <c r="L772" s="8">
        <v>43749</v>
      </c>
      <c r="M772">
        <v>10</v>
      </c>
      <c r="N772" s="49" t="s">
        <v>71</v>
      </c>
      <c r="O772">
        <v>2019</v>
      </c>
      <c r="P772">
        <v>0.15029999999999999</v>
      </c>
      <c r="Q772" s="10"/>
      <c r="R772" s="11">
        <f>ROUND(Таб[[#This Row],[Зелений Тариф ЕЦ]]+Таб[[#This Row],[Зелений Тариф ЕЦ]]*Таб[[#This Row],[% надбавки]],4)</f>
        <v>0.15029999999999999</v>
      </c>
      <c r="S772" s="12"/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BD7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183.60938908175311</v>
      </c>
      <c r="BE7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316.60504627586749</v>
      </c>
      <c r="BF7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534.13640460146348</v>
      </c>
      <c r="BG7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759.20597831458019</v>
      </c>
      <c r="BH7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934.73870805256115</v>
      </c>
      <c r="BI7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969.19912125265557</v>
      </c>
      <c r="BJ7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984.81399598394842</v>
      </c>
      <c r="BK7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851.27989483358249</v>
      </c>
      <c r="BL7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597.67279143913765</v>
      </c>
      <c r="BM7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383.91054080730191</v>
      </c>
      <c r="BN7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177.68650556298687</v>
      </c>
      <c r="BO7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150.22586379416163</v>
      </c>
      <c r="BP772">
        <f>SUM(Таб[[#This Row],[1]:[12]])</f>
        <v>6843.0842399999992</v>
      </c>
    </row>
    <row r="773" spans="2:68" ht="38.25">
      <c r="B773" t="s">
        <v>384</v>
      </c>
      <c r="C773" t="str">
        <f>IFERROR(VLOOKUP(Таб[[#This Row],[Зелений Тариф ЕЦ]],Sheet6!$H$9:$I$29,2,FALSE),"")</f>
        <v>Земля</v>
      </c>
      <c r="G773" s="1" t="s">
        <v>1912</v>
      </c>
      <c r="H773" t="s">
        <v>65</v>
      </c>
      <c r="I773" t="s">
        <v>181</v>
      </c>
      <c r="J773" s="29">
        <v>0.23400000000000001</v>
      </c>
      <c r="K773" s="8"/>
      <c r="L773" s="8">
        <v>43749</v>
      </c>
      <c r="M773">
        <v>10</v>
      </c>
      <c r="N773" s="49" t="s">
        <v>71</v>
      </c>
      <c r="O773">
        <v>2019</v>
      </c>
      <c r="P773">
        <v>0.15029999999999999</v>
      </c>
      <c r="Q773" s="10"/>
      <c r="R773" s="11">
        <f>ROUND(Таб[[#This Row],[Зелений Тариф ЕЦ]]+Таб[[#This Row],[Зелений Тариф ЕЦ]]*Таб[[#This Row],[% надбавки]],4)</f>
        <v>0.15029999999999999</v>
      </c>
      <c r="S773" s="12"/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BD7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7.5350047430954454</v>
      </c>
      <c r="BE7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12.992911404516487</v>
      </c>
      <c r="BF7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21.920013798095837</v>
      </c>
      <c r="BG7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31.156471225116057</v>
      </c>
      <c r="BH7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38.360024146667719</v>
      </c>
      <c r="BI7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39.774218585254552</v>
      </c>
      <c r="BJ7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40.415025440239205</v>
      </c>
      <c r="BK7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34.935021990715249</v>
      </c>
      <c r="BL7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24.527434794240307</v>
      </c>
      <c r="BM7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15.755009917381383</v>
      </c>
      <c r="BN7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7.2919400739633335</v>
      </c>
      <c r="BO7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6.1650038807144547</v>
      </c>
      <c r="BP773">
        <f>SUM(Таб[[#This Row],[1]:[12]])</f>
        <v>280.82808</v>
      </c>
    </row>
    <row r="774" spans="2:68" ht="51">
      <c r="B774" t="s">
        <v>384</v>
      </c>
      <c r="C774" t="str">
        <f>IFERROR(VLOOKUP(Таб[[#This Row],[Зелений Тариф ЕЦ]],Sheet6!$H$9:$I$29,2,FALSE),"")</f>
        <v>Земля</v>
      </c>
      <c r="G774" s="1" t="s">
        <v>1914</v>
      </c>
      <c r="H774" t="s">
        <v>73</v>
      </c>
      <c r="I774" t="s">
        <v>1901</v>
      </c>
      <c r="J774" s="29">
        <v>4.7519999999999998</v>
      </c>
      <c r="K774" s="8"/>
      <c r="L774" s="8">
        <v>43749</v>
      </c>
      <c r="M774">
        <v>10</v>
      </c>
      <c r="N774" s="49" t="s">
        <v>71</v>
      </c>
      <c r="O774">
        <v>2019</v>
      </c>
      <c r="P774">
        <v>0.15029999999999999</v>
      </c>
      <c r="Q774" s="10"/>
      <c r="R774" s="11">
        <f>ROUND(Таб[[#This Row],[Зелений Тариф ЕЦ]]+Таб[[#This Row],[Зелений Тариф ЕЦ]]*Таб[[#This Row],[% надбавки]],4)</f>
        <v>0.15029999999999999</v>
      </c>
      <c r="S774" s="12"/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BD7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153.01855785978441</v>
      </c>
      <c r="BE7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263.8560469840271</v>
      </c>
      <c r="BF7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445.14489559210006</v>
      </c>
      <c r="BG7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632.71603103312611</v>
      </c>
      <c r="BH7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779.0035672861751</v>
      </c>
      <c r="BI7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807.72259280824619</v>
      </c>
      <c r="BJ7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820.73590124793452</v>
      </c>
      <c r="BK7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709.44967734990951</v>
      </c>
      <c r="BL7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498.09559889841847</v>
      </c>
      <c r="BM7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319.9478937068219</v>
      </c>
      <c r="BN7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148.08247534817846</v>
      </c>
      <c r="BO7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125.19700188527815</v>
      </c>
      <c r="BP774">
        <f>SUM(Таб[[#This Row],[1]:[12]])</f>
        <v>5702.9702399999996</v>
      </c>
    </row>
    <row r="775" spans="2:68" ht="51">
      <c r="B775" t="s">
        <v>384</v>
      </c>
      <c r="C775" t="str">
        <f>IFERROR(VLOOKUP(Таб[[#This Row],[Зелений Тариф ЕЦ]],Sheet6!$H$9:$I$29,2,FALSE),"")</f>
        <v>Земля</v>
      </c>
      <c r="G775" s="1" t="s">
        <v>1917</v>
      </c>
      <c r="H775" t="s">
        <v>172</v>
      </c>
      <c r="I775" t="s">
        <v>1919</v>
      </c>
      <c r="J775" s="29">
        <v>5.1980000000000004</v>
      </c>
      <c r="K775" s="8"/>
      <c r="L775" s="8">
        <v>43749</v>
      </c>
      <c r="M775">
        <v>10</v>
      </c>
      <c r="N775" s="49" t="s">
        <v>71</v>
      </c>
      <c r="O775">
        <v>2019</v>
      </c>
      <c r="P775">
        <v>0.15029999999999999</v>
      </c>
      <c r="Q775" s="10">
        <v>0.05</v>
      </c>
      <c r="R775" s="11">
        <f>ROUND(Таб[[#This Row],[Зелений Тариф ЕЦ]]+Таб[[#This Row],[Зелений Тариф ЕЦ]]*Таб[[#This Row],[% надбавки]],4)</f>
        <v>0.1578</v>
      </c>
      <c r="S775" s="12">
        <v>43762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BD7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167.38014809662448</v>
      </c>
      <c r="BE7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288.62031401998587</v>
      </c>
      <c r="BF7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486.92406719018015</v>
      </c>
      <c r="BG7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692.09973259894571</v>
      </c>
      <c r="BH7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852.11711758281547</v>
      </c>
      <c r="BI7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883.53157353056895</v>
      </c>
      <c r="BJ7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897.76624888189474</v>
      </c>
      <c r="BK7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776.03523208434967</v>
      </c>
      <c r="BL7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544.84447034385084</v>
      </c>
      <c r="BM7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349.976673292942</v>
      </c>
      <c r="BN7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161.98078848060436</v>
      </c>
      <c r="BO7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136.94739389723819</v>
      </c>
      <c r="BP775">
        <f>SUM(Таб[[#This Row],[1]:[12]])</f>
        <v>6238.2237599999999</v>
      </c>
    </row>
    <row r="776" spans="2:68" ht="51">
      <c r="B776" t="s">
        <v>384</v>
      </c>
      <c r="C776" t="str">
        <f>IFERROR(VLOOKUP(Таб[[#This Row],[Зелений Тариф ЕЦ]],Sheet6!$H$9:$I$29,2,FALSE),"")</f>
        <v>Земля</v>
      </c>
      <c r="D776" t="s">
        <v>3380</v>
      </c>
      <c r="E776" t="s">
        <v>3380</v>
      </c>
      <c r="F776" t="s">
        <v>3287</v>
      </c>
      <c r="G776" s="1" t="s">
        <v>1921</v>
      </c>
      <c r="H776" t="s">
        <v>82</v>
      </c>
      <c r="J776" s="29">
        <v>6.5049999999999999</v>
      </c>
      <c r="K776" s="8"/>
      <c r="L776" s="8">
        <v>43749</v>
      </c>
      <c r="M776">
        <v>10</v>
      </c>
      <c r="N776" s="49" t="s">
        <v>71</v>
      </c>
      <c r="O776">
        <v>2019</v>
      </c>
      <c r="P776">
        <v>0.15029999999999999</v>
      </c>
      <c r="Q776" s="10">
        <v>0.05</v>
      </c>
      <c r="R776" s="11">
        <f>ROUND(Таб[[#This Row],[Зелений Тариф ЕЦ]]+Таб[[#This Row],[Зелений Тариф ЕЦ]]*Таб[[#This Row],[% надбавки]],4)</f>
        <v>0.1578</v>
      </c>
      <c r="S776" s="12">
        <v>43821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BD7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209.46669168305931</v>
      </c>
      <c r="BE7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361.19183199307577</v>
      </c>
      <c r="BF7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609.3576485325359</v>
      </c>
      <c r="BG7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866.12327059564075</v>
      </c>
      <c r="BH7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1066.3758849319379</v>
      </c>
      <c r="BI7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1105.6892816114564</v>
      </c>
      <c r="BJ7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1123.5031644818632</v>
      </c>
      <c r="BK7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971.1637523487293</v>
      </c>
      <c r="BL7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681.8417236603982</v>
      </c>
      <c r="BM7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437.97580988276025</v>
      </c>
      <c r="BN7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202.70970162876705</v>
      </c>
      <c r="BO7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171.38183864977574</v>
      </c>
      <c r="BP776">
        <f>SUM(Таб[[#This Row],[1]:[12]])</f>
        <v>7806.7806</v>
      </c>
    </row>
    <row r="777" spans="2:68" ht="38.25">
      <c r="B777" t="s">
        <v>384</v>
      </c>
      <c r="C777" t="str">
        <f>IFERROR(VLOOKUP(Таб[[#This Row],[Зелений Тариф ЕЦ]],Sheet6!$H$9:$I$29,2,FALSE),"")</f>
        <v>Дах</v>
      </c>
      <c r="G777" s="1" t="s">
        <v>1924</v>
      </c>
      <c r="H777" t="s">
        <v>163</v>
      </c>
      <c r="I777" t="s">
        <v>1926</v>
      </c>
      <c r="J777" s="29">
        <v>1.869</v>
      </c>
      <c r="K777" s="8"/>
      <c r="L777" s="8">
        <v>43749</v>
      </c>
      <c r="M777">
        <v>10</v>
      </c>
      <c r="N777" s="49" t="s">
        <v>71</v>
      </c>
      <c r="O777">
        <v>2019</v>
      </c>
      <c r="P777">
        <v>0.16370000000000001</v>
      </c>
      <c r="Q777" s="10"/>
      <c r="R777" s="11">
        <f>ROUND(Таб[[#This Row],[Зелений Тариф ЕЦ]]+Таб[[#This Row],[Зелений Тариф ЕЦ]]*Таб[[#This Row],[% надбавки]],4)</f>
        <v>0.16370000000000001</v>
      </c>
      <c r="S777" s="12"/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BD7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60.183435319852094</v>
      </c>
      <c r="BE7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103.77671544889449</v>
      </c>
      <c r="BF7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175.0790845668424</v>
      </c>
      <c r="BG7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248.85232786214493</v>
      </c>
      <c r="BH7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306.38839799197422</v>
      </c>
      <c r="BI7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317.68382280273818</v>
      </c>
      <c r="BJ7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322.80206217011568</v>
      </c>
      <c r="BK7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279.0322910284051</v>
      </c>
      <c r="BL7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195.90502406168861</v>
      </c>
      <c r="BM7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125.83809203241795</v>
      </c>
      <c r="BN7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58.242034180502017</v>
      </c>
      <c r="BO7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49.240992534424421</v>
      </c>
      <c r="BP777">
        <f>SUM(Таб[[#This Row],[1]:[12]])</f>
        <v>2243.0242800000001</v>
      </c>
    </row>
    <row r="778" spans="2:68" ht="51">
      <c r="B778" t="s">
        <v>384</v>
      </c>
      <c r="C778" t="str">
        <f>IFERROR(VLOOKUP(Таб[[#This Row],[Зелений Тариф ЕЦ]],Sheet6!$H$9:$I$29,2,FALSE),"")</f>
        <v>Земля</v>
      </c>
      <c r="D778" t="s">
        <v>3359</v>
      </c>
      <c r="E778" t="s">
        <v>3385</v>
      </c>
      <c r="F778" t="s">
        <v>3287</v>
      </c>
      <c r="G778" s="1" t="s">
        <v>1928</v>
      </c>
      <c r="H778" t="s">
        <v>98</v>
      </c>
      <c r="I778" t="s">
        <v>458</v>
      </c>
      <c r="J778" s="29">
        <v>35.100999999999999</v>
      </c>
      <c r="K778" s="8"/>
      <c r="L778" s="8">
        <v>43749</v>
      </c>
      <c r="M778">
        <v>10</v>
      </c>
      <c r="N778" s="49" t="s">
        <v>71</v>
      </c>
      <c r="O778">
        <v>2019</v>
      </c>
      <c r="P778">
        <v>0.15029999999999999</v>
      </c>
      <c r="Q778" s="10"/>
      <c r="R778" s="11">
        <f>ROUND(Таб[[#This Row],[Зелений Тариф ЕЦ]]+Таб[[#This Row],[Зелений Тариф ЕЦ]]*Таб[[#This Row],[% надбавки]],4)</f>
        <v>0.15029999999999999</v>
      </c>
      <c r="S778" s="12"/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BD7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1130.2829123392873</v>
      </c>
      <c r="BE7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1948.9922359398852</v>
      </c>
      <c r="BF7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3288.0957449870166</v>
      </c>
      <c r="BG7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4673.6038310803369</v>
      </c>
      <c r="BH7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5754.1675537272795</v>
      </c>
      <c r="BI7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5966.3027630812812</v>
      </c>
      <c r="BJ7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6062.4265298198115</v>
      </c>
      <c r="BK7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5240.4025935730588</v>
      </c>
      <c r="BL7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3679.2200372334564</v>
      </c>
      <c r="BM7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2363.3188167094186</v>
      </c>
      <c r="BN7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1093.8221732315683</v>
      </c>
      <c r="BO7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924.77692827759859</v>
      </c>
      <c r="BP778">
        <f>SUM(Таб[[#This Row],[1]:[12]])</f>
        <v>42125.412119999994</v>
      </c>
    </row>
    <row r="779" spans="2:68" ht="38.25">
      <c r="B779" t="s">
        <v>384</v>
      </c>
      <c r="C779" t="str">
        <f>IFERROR(VLOOKUP(Таб[[#This Row],[Зелений Тариф ЕЦ]],Sheet6!$H$9:$I$29,2,FALSE),"")</f>
        <v>Земля</v>
      </c>
      <c r="G779" s="1" t="s">
        <v>1931</v>
      </c>
      <c r="H779" t="s">
        <v>65</v>
      </c>
      <c r="I779" t="s">
        <v>154</v>
      </c>
      <c r="J779" s="29">
        <v>5.2919999999999998</v>
      </c>
      <c r="K779" s="8"/>
      <c r="L779" s="8">
        <v>43749</v>
      </c>
      <c r="M779">
        <v>10</v>
      </c>
      <c r="N779" s="49" t="s">
        <v>71</v>
      </c>
      <c r="O779">
        <v>2019</v>
      </c>
      <c r="P779">
        <v>0.15029999999999999</v>
      </c>
      <c r="Q779" s="10"/>
      <c r="R779" s="11">
        <f>ROUND(Таб[[#This Row],[Зелений Тариф ЕЦ]]+Таб[[#This Row],[Зелений Тариф ЕЦ]]*Таб[[#This Row],[% надбавки]],4)</f>
        <v>0.15029999999999999</v>
      </c>
      <c r="S779" s="12"/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BD7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170.40703034385083</v>
      </c>
      <c r="BE7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293.83968868675743</v>
      </c>
      <c r="BF7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495.72954281847501</v>
      </c>
      <c r="BG7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704.61558001416324</v>
      </c>
      <c r="BH7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867.52669993233144</v>
      </c>
      <c r="BI7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899.50925108191063</v>
      </c>
      <c r="BJ7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914.00134457156344</v>
      </c>
      <c r="BK7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790.06895886694474</v>
      </c>
      <c r="BL7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554.69737150051151</v>
      </c>
      <c r="BM7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356.30560890077891</v>
      </c>
      <c r="BN7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164.91002936501692</v>
      </c>
      <c r="BO7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139.4239339176961</v>
      </c>
      <c r="BP779">
        <f>SUM(Таб[[#This Row],[1]:[12]])</f>
        <v>6351.0350399999988</v>
      </c>
    </row>
    <row r="780" spans="2:68" ht="63.75">
      <c r="B780" t="s">
        <v>384</v>
      </c>
      <c r="C780" t="str">
        <f>IFERROR(VLOOKUP(Таб[[#This Row],[Зелений Тариф ЕЦ]],Sheet6!$H$9:$I$29,2,FALSE),"")</f>
        <v>Земля</v>
      </c>
      <c r="D780" t="s">
        <v>3415</v>
      </c>
      <c r="F780" t="s">
        <v>3416</v>
      </c>
      <c r="G780" s="1" t="s">
        <v>1934</v>
      </c>
      <c r="H780" t="s">
        <v>172</v>
      </c>
      <c r="I780" t="s">
        <v>1935</v>
      </c>
      <c r="J780" s="29">
        <v>11.035</v>
      </c>
      <c r="K780" s="8"/>
      <c r="L780" s="8">
        <v>43762</v>
      </c>
      <c r="M780">
        <v>10</v>
      </c>
      <c r="N780" s="49" t="s">
        <v>71</v>
      </c>
      <c r="O780">
        <v>2019</v>
      </c>
      <c r="P780">
        <v>0.15029999999999999</v>
      </c>
      <c r="Q780" s="10"/>
      <c r="R780" s="11">
        <f>ROUND(Таб[[#This Row],[Зелений Тариф ЕЦ]]+Таб[[#This Row],[Зелений Тариф ЕЦ]]*Таб[[#This Row],[% надбавки]],4)</f>
        <v>0.15029999999999999</v>
      </c>
      <c r="S780" s="12"/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BD7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355.33665529939418</v>
      </c>
      <c r="BE7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612.72127072153592</v>
      </c>
      <c r="BF7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1033.7066335982374</v>
      </c>
      <c r="BG7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1469.2805981587851</v>
      </c>
      <c r="BH7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1808.9866087969156</v>
      </c>
      <c r="BI7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1875.6773593516409</v>
      </c>
      <c r="BJ7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1905.8966056967504</v>
      </c>
      <c r="BK7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1647.4699472971913</v>
      </c>
      <c r="BL7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1156.6677049335117</v>
      </c>
      <c r="BM7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742.97664289873319</v>
      </c>
      <c r="BN7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343.87418254780084</v>
      </c>
      <c r="BO7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290.7299906995043</v>
      </c>
      <c r="BP780">
        <f>SUM(Таб[[#This Row],[1]:[12]])</f>
        <v>13243.324200000003</v>
      </c>
    </row>
    <row r="781" spans="2:68" ht="38.25">
      <c r="B781" t="s">
        <v>384</v>
      </c>
      <c r="C781" t="str">
        <f>IFERROR(VLOOKUP(Таб[[#This Row],[Зелений Тариф ЕЦ]],Sheet6!$H$9:$I$29,2,FALSE),"")</f>
        <v>Земля</v>
      </c>
      <c r="G781" s="1" t="s">
        <v>1937</v>
      </c>
      <c r="H781" t="s">
        <v>65</v>
      </c>
      <c r="I781" t="s">
        <v>1939</v>
      </c>
      <c r="J781" s="29">
        <v>4.141</v>
      </c>
      <c r="K781" s="8"/>
      <c r="L781" s="8">
        <v>43762</v>
      </c>
      <c r="M781">
        <v>10</v>
      </c>
      <c r="N781" s="49" t="s">
        <v>71</v>
      </c>
      <c r="O781">
        <v>2019</v>
      </c>
      <c r="P781">
        <v>0.15029999999999999</v>
      </c>
      <c r="Q781" s="10"/>
      <c r="R781" s="11">
        <f>ROUND(Таб[[#This Row],[Зелений Тариф ЕЦ]]+Таб[[#This Row],[Зелений Тариф ЕЦ]]*Таб[[#This Row],[% надбавки]],4)</f>
        <v>0.15029999999999999</v>
      </c>
      <c r="S781" s="12"/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BD7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133.34382325281297</v>
      </c>
      <c r="BE7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229.93011165001181</v>
      </c>
      <c r="BF7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387.90930400818314</v>
      </c>
      <c r="BG7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551.36302283421196</v>
      </c>
      <c r="BH7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678.84128201432054</v>
      </c>
      <c r="BI7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703.86768872452603</v>
      </c>
      <c r="BJ7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715.20777926508777</v>
      </c>
      <c r="BK7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618.23045326304202</v>
      </c>
      <c r="BL7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434.05174138012444</v>
      </c>
      <c r="BM7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278.80981225588164</v>
      </c>
      <c r="BN7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129.04240959949644</v>
      </c>
      <c r="BO7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109.09949175230153</v>
      </c>
      <c r="BP781">
        <f>SUM(Таб[[#This Row],[1]:[12]])</f>
        <v>4969.6969200000003</v>
      </c>
    </row>
    <row r="782" spans="2:68" ht="25.5">
      <c r="B782" t="s">
        <v>384</v>
      </c>
      <c r="C782" t="str">
        <f>IFERROR(VLOOKUP(Таб[[#This Row],[Зелений Тариф ЕЦ]],Sheet6!$H$9:$I$29,2,FALSE),"")</f>
        <v>Земля</v>
      </c>
      <c r="G782" s="1" t="s">
        <v>1941</v>
      </c>
      <c r="H782" t="s">
        <v>122</v>
      </c>
      <c r="I782" t="s">
        <v>1806</v>
      </c>
      <c r="J782" s="29">
        <v>8.4640000000000004</v>
      </c>
      <c r="K782" s="8"/>
      <c r="L782" s="8">
        <v>43762</v>
      </c>
      <c r="M782">
        <v>10</v>
      </c>
      <c r="N782" s="49" t="s">
        <v>71</v>
      </c>
      <c r="O782">
        <v>2019</v>
      </c>
      <c r="P782">
        <v>0.15029999999999999</v>
      </c>
      <c r="Q782" s="10"/>
      <c r="R782" s="11">
        <f>ROUND(Таб[[#This Row],[Зелений Тариф ЕЦ]]+Таб[[#This Row],[Зелений Тариф ЕЦ]]*Таб[[#This Row],[% надбавки]],4)</f>
        <v>0.15029999999999999</v>
      </c>
      <c r="S782" s="12"/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BD7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272.54820575025576</v>
      </c>
      <c r="BE7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469.96582105909204</v>
      </c>
      <c r="BF7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792.86750763710756</v>
      </c>
      <c r="BG7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1126.9588566212919</v>
      </c>
      <c r="BH7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1387.5181383649383</v>
      </c>
      <c r="BI7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1438.6708807931388</v>
      </c>
      <c r="BJ7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1461.8494672059173</v>
      </c>
      <c r="BK7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1263.6325902966403</v>
      </c>
      <c r="BL7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887.1803764891024</v>
      </c>
      <c r="BM7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569.87352111417101</v>
      </c>
      <c r="BN7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263.75632814540882</v>
      </c>
      <c r="BO7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222.9939865229365</v>
      </c>
      <c r="BP782">
        <f>SUM(Таб[[#This Row],[1]:[12]])</f>
        <v>10157.815680000002</v>
      </c>
    </row>
    <row r="783" spans="2:68" ht="25.5">
      <c r="B783" t="s">
        <v>384</v>
      </c>
      <c r="C783" t="str">
        <f>IFERROR(VLOOKUP(Таб[[#This Row],[Зелений Тариф ЕЦ]],Sheet6!$H$9:$I$29,2,FALSE),"")</f>
        <v>Земля</v>
      </c>
      <c r="G783" s="1" t="s">
        <v>1944</v>
      </c>
      <c r="H783" t="s">
        <v>122</v>
      </c>
      <c r="I783" t="s">
        <v>316</v>
      </c>
      <c r="J783" s="29">
        <v>6.9470000000000001</v>
      </c>
      <c r="K783" s="8"/>
      <c r="L783" s="8">
        <v>43762</v>
      </c>
      <c r="M783">
        <v>10</v>
      </c>
      <c r="N783" s="49" t="s">
        <v>71</v>
      </c>
      <c r="O783">
        <v>2019</v>
      </c>
      <c r="P783">
        <v>0.15029999999999999</v>
      </c>
      <c r="Q783" s="10"/>
      <c r="R783" s="11">
        <f>ROUND(Таб[[#This Row],[Зелений Тариф ЕЦ]]+Таб[[#This Row],[Зелений Тариф ЕЦ]]*Таб[[#This Row],[% надбавки]],4)</f>
        <v>0.15029999999999999</v>
      </c>
      <c r="S783" s="12"/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BD7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223.69947842001739</v>
      </c>
      <c r="BE7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385.7339979793847</v>
      </c>
      <c r="BF7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650.76211904005038</v>
      </c>
      <c r="BG7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924.9743829097489</v>
      </c>
      <c r="BH7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1138.8337083200881</v>
      </c>
      <c r="BI7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1180.8183611613817</v>
      </c>
      <c r="BJ7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1199.8426569800929</v>
      </c>
      <c r="BK7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1037.1521272200803</v>
      </c>
      <c r="BL7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728.1713227161855</v>
      </c>
      <c r="BM7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467.73527306003621</v>
      </c>
      <c r="BN7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216.48336621292003</v>
      </c>
      <c r="BO7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183.02684598001417</v>
      </c>
      <c r="BP783">
        <f>SUM(Таб[[#This Row],[1]:[12]])</f>
        <v>8337.2336400000004</v>
      </c>
    </row>
    <row r="784" spans="2:68" ht="38.25">
      <c r="B784" t="s">
        <v>384</v>
      </c>
      <c r="C784" t="str">
        <f>IFERROR(VLOOKUP(Таб[[#This Row],[Зелений Тариф ЕЦ]],Sheet6!$H$9:$I$29,2,FALSE),"")</f>
        <v>Земля</v>
      </c>
      <c r="G784" s="1" t="s">
        <v>1946</v>
      </c>
      <c r="H784" t="s">
        <v>172</v>
      </c>
      <c r="I784" t="s">
        <v>1947</v>
      </c>
      <c r="J784" s="29">
        <v>5.5119999999999996</v>
      </c>
      <c r="K784" s="8"/>
      <c r="L784" s="8">
        <v>43762</v>
      </c>
      <c r="M784">
        <v>10</v>
      </c>
      <c r="N784" s="49" t="s">
        <v>71</v>
      </c>
      <c r="O784">
        <v>2019</v>
      </c>
      <c r="P784">
        <v>0.15029999999999999</v>
      </c>
      <c r="Q784" s="10"/>
      <c r="R784" s="11">
        <f>ROUND(Таб[[#This Row],[Зелений Тариф ЕЦ]]+Таб[[#This Row],[Зелений Тариф ЕЦ]]*Таб[[#This Row],[% надбавки]],4)</f>
        <v>0.15029999999999999</v>
      </c>
      <c r="S784" s="12"/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BD7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177.49122283735937</v>
      </c>
      <c r="BE7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306.0552464174994</v>
      </c>
      <c r="BF7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516.33810279959084</v>
      </c>
      <c r="BG7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733.9079888582894</v>
      </c>
      <c r="BH7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903.59167989928392</v>
      </c>
      <c r="BI7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936.90381556377361</v>
      </c>
      <c r="BJ7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951.99837703674552</v>
      </c>
      <c r="BK7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822.91385133684776</v>
      </c>
      <c r="BL7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577.75735293099376</v>
      </c>
      <c r="BM7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371.11801138720591</v>
      </c>
      <c r="BN7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171.76569952002518</v>
      </c>
      <c r="BO7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145.22009141238493</v>
      </c>
      <c r="BP784">
        <f>SUM(Таб[[#This Row],[1]:[12]])</f>
        <v>6615.0614399999995</v>
      </c>
    </row>
    <row r="785" spans="2:68" ht="63.75">
      <c r="B785" t="s">
        <v>384</v>
      </c>
      <c r="C785" t="str">
        <f>IFERROR(VLOOKUP(Таб[[#This Row],[Зелений Тариф ЕЦ]],Sheet6!$H$9:$I$29,2,FALSE),"")</f>
        <v>Земля</v>
      </c>
      <c r="G785" s="1" t="s">
        <v>1950</v>
      </c>
      <c r="H785" t="s">
        <v>62</v>
      </c>
      <c r="I785" t="s">
        <v>555</v>
      </c>
      <c r="J785" s="29">
        <v>1.1579999999999999</v>
      </c>
      <c r="K785" s="8"/>
      <c r="L785" s="8">
        <v>43762</v>
      </c>
      <c r="M785">
        <v>10</v>
      </c>
      <c r="N785" s="49" t="s">
        <v>71</v>
      </c>
      <c r="O785">
        <v>2019</v>
      </c>
      <c r="P785">
        <v>0.15029999999999999</v>
      </c>
      <c r="Q785" s="10"/>
      <c r="R785" s="11">
        <f>ROUND(Таб[[#This Row],[Зелений Тариф ЕЦ]]+Таб[[#This Row],[Зелений Тариф ЕЦ]]*Таб[[#This Row],[% надбавки]],4)</f>
        <v>0.15029999999999999</v>
      </c>
      <c r="S785" s="12"/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BD7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37.288613215831305</v>
      </c>
      <c r="BE7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64.298253873632859</v>
      </c>
      <c r="BF7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108.47596571878195</v>
      </c>
      <c r="BG7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154.18458837044614</v>
      </c>
      <c r="BH7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189.83294000786844</v>
      </c>
      <c r="BI7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196.83138940908015</v>
      </c>
      <c r="BJ7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200.00256179400424</v>
      </c>
      <c r="BK7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172.88357036430875</v>
      </c>
      <c r="BL7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121.3793568022661</v>
      </c>
      <c r="BM7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77.967100360374516</v>
      </c>
      <c r="BN7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36.08575472499804</v>
      </c>
      <c r="BO7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30.508865358407427</v>
      </c>
      <c r="BP785">
        <f>SUM(Таб[[#This Row],[1]:[12]])</f>
        <v>1389.7389599999997</v>
      </c>
    </row>
    <row r="786" spans="2:68" ht="38.25">
      <c r="B786" t="s">
        <v>384</v>
      </c>
      <c r="C786" t="str">
        <f>IFERROR(VLOOKUP(Таб[[#This Row],[Зелений Тариф ЕЦ]],Sheet6!$H$9:$I$29,2,FALSE),"")</f>
        <v>Земля</v>
      </c>
      <c r="G786" s="1" t="s">
        <v>1953</v>
      </c>
      <c r="H786" t="s">
        <v>263</v>
      </c>
      <c r="I786" t="s">
        <v>1955</v>
      </c>
      <c r="J786" s="29">
        <v>1.1759999999999999</v>
      </c>
      <c r="K786" s="8"/>
      <c r="L786" s="8">
        <v>43762</v>
      </c>
      <c r="M786">
        <v>10</v>
      </c>
      <c r="N786" s="49" t="s">
        <v>71</v>
      </c>
      <c r="O786">
        <v>2019</v>
      </c>
      <c r="P786">
        <v>0.15029999999999999</v>
      </c>
      <c r="Q786" s="10"/>
      <c r="R786" s="11">
        <f>ROUND(Таб[[#This Row],[Зелений Тариф ЕЦ]]+Таб[[#This Row],[Зелений Тариф ЕЦ]]*Таб[[#This Row],[% надбавки]],4)</f>
        <v>0.15029999999999999</v>
      </c>
      <c r="S786" s="12"/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BD7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37.86822896530019</v>
      </c>
      <c r="BE7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65.297708597057209</v>
      </c>
      <c r="BF7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110.16212062632781</v>
      </c>
      <c r="BG7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156.58124000314737</v>
      </c>
      <c r="BH7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192.7837110960736</v>
      </c>
      <c r="BI7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199.890944684869</v>
      </c>
      <c r="BJ7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203.11140990479186</v>
      </c>
      <c r="BK7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175.57087974820993</v>
      </c>
      <c r="BL7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123.26608255566921</v>
      </c>
      <c r="BM7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79.179024200173103</v>
      </c>
      <c r="BN7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36.64667319222599</v>
      </c>
      <c r="BO7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30.983096426154695</v>
      </c>
      <c r="BP786">
        <f>SUM(Таб[[#This Row],[1]:[12]])</f>
        <v>1411.34112</v>
      </c>
    </row>
    <row r="787" spans="2:68" ht="38.25">
      <c r="B787" t="s">
        <v>384</v>
      </c>
      <c r="C787" t="str">
        <f>IFERROR(VLOOKUP(Таб[[#This Row],[Зелений Тариф ЕЦ]],Sheet6!$H$9:$I$29,2,FALSE),"")</f>
        <v>Дах</v>
      </c>
      <c r="G787" s="1" t="s">
        <v>1958</v>
      </c>
      <c r="H787" t="s">
        <v>1465</v>
      </c>
      <c r="I787" t="s">
        <v>1959</v>
      </c>
      <c r="J787" s="29">
        <v>9.1999999999999998E-2</v>
      </c>
      <c r="K787" s="8"/>
      <c r="L787" s="8">
        <v>43762</v>
      </c>
      <c r="M787">
        <v>10</v>
      </c>
      <c r="N787" s="49" t="s">
        <v>71</v>
      </c>
      <c r="O787">
        <v>2019</v>
      </c>
      <c r="P787">
        <v>0.16370000000000001</v>
      </c>
      <c r="Q787" s="10"/>
      <c r="R787" s="11">
        <f>ROUND(Таб[[#This Row],[Зелений Тариф ЕЦ]]+Таб[[#This Row],[Зелений Тариф ЕЦ]]*Таб[[#This Row],[% надбавки]],4)</f>
        <v>0.16370000000000001</v>
      </c>
      <c r="S787" s="12"/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BD7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2.9624804972853886</v>
      </c>
      <c r="BE7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5.1083241419466523</v>
      </c>
      <c r="BF7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8.6181250830120391</v>
      </c>
      <c r="BG7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12.24955278936187</v>
      </c>
      <c r="BH7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15.081718895271067</v>
      </c>
      <c r="BI7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15.637726965142811</v>
      </c>
      <c r="BJ7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15.889668121803446</v>
      </c>
      <c r="BK7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13.735136851050438</v>
      </c>
      <c r="BL7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9.643264961838069</v>
      </c>
      <c r="BM7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6.1942774034149011</v>
      </c>
      <c r="BN7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2.8669166102761823</v>
      </c>
      <c r="BO7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2.4238476795971362</v>
      </c>
      <c r="BP787">
        <f>SUM(Таб[[#This Row],[1]:[12]])</f>
        <v>110.41104</v>
      </c>
    </row>
    <row r="788" spans="2:68" ht="38.25">
      <c r="B788" t="s">
        <v>384</v>
      </c>
      <c r="C788" t="str">
        <f>IFERROR(VLOOKUP(Таб[[#This Row],[Зелений Тариф ЕЦ]],Sheet6!$H$9:$I$29,2,FALSE),"")</f>
        <v>Дах</v>
      </c>
      <c r="G788" s="1" t="s">
        <v>1961</v>
      </c>
      <c r="H788" t="s">
        <v>107</v>
      </c>
      <c r="I788" t="s">
        <v>108</v>
      </c>
      <c r="J788" s="29">
        <v>7.1999999999999995E-2</v>
      </c>
      <c r="K788" s="8"/>
      <c r="L788" s="8">
        <v>43762</v>
      </c>
      <c r="M788">
        <v>10</v>
      </c>
      <c r="N788" s="49" t="s">
        <v>71</v>
      </c>
      <c r="O788">
        <v>2019</v>
      </c>
      <c r="P788">
        <v>0.16370000000000001</v>
      </c>
      <c r="Q788" s="10"/>
      <c r="R788" s="11">
        <f>ROUND(Таб[[#This Row],[Зелений Тариф ЕЦ]]+Таб[[#This Row],[Зелений Тариф ЕЦ]]*Таб[[#This Row],[% надбавки]],4)</f>
        <v>0.16370000000000001</v>
      </c>
      <c r="S788" s="12"/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BD7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2.3184629978755211</v>
      </c>
      <c r="BE7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3.9978188936973793</v>
      </c>
      <c r="BF7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6.7446196301833332</v>
      </c>
      <c r="BG7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9.5866065308049393</v>
      </c>
      <c r="BH7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11.803084352820834</v>
      </c>
      <c r="BI7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12.238221103155244</v>
      </c>
      <c r="BJ7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12.435392443150524</v>
      </c>
      <c r="BK7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10.74923753560469</v>
      </c>
      <c r="BL7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7.5469030136124005</v>
      </c>
      <c r="BM7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4.8476953591942715</v>
      </c>
      <c r="BN7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2.2436738689117948</v>
      </c>
      <c r="BO7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1.8969242709890628</v>
      </c>
      <c r="BP788">
        <f>SUM(Таб[[#This Row],[1]:[12]])</f>
        <v>86.408639999999991</v>
      </c>
    </row>
    <row r="789" spans="2:68" ht="51">
      <c r="B789" t="s">
        <v>384</v>
      </c>
      <c r="C789" t="str">
        <f>IFERROR(VLOOKUP(Таб[[#This Row],[Зелений Тариф ЕЦ]],Sheet6!$H$9:$I$29,2,FALSE),"")</f>
        <v>Земля</v>
      </c>
      <c r="D789" t="s">
        <v>3386</v>
      </c>
      <c r="E789" t="s">
        <v>3386</v>
      </c>
      <c r="F789" t="s">
        <v>3287</v>
      </c>
      <c r="G789" s="1" t="s">
        <v>1963</v>
      </c>
      <c r="H789" t="s">
        <v>98</v>
      </c>
      <c r="I789" t="s">
        <v>458</v>
      </c>
      <c r="J789" s="29">
        <v>15.537000000000001</v>
      </c>
      <c r="K789" s="8"/>
      <c r="L789" s="8">
        <v>43762</v>
      </c>
      <c r="M789">
        <v>10</v>
      </c>
      <c r="N789" s="49" t="s">
        <v>71</v>
      </c>
      <c r="O789">
        <v>2019</v>
      </c>
      <c r="P789">
        <v>0.15029999999999999</v>
      </c>
      <c r="Q789" s="10"/>
      <c r="R789" s="11">
        <f>ROUND(Таб[[#This Row],[Зелений Тариф ЕЦ]]+Таб[[#This Row],[Зелений Тариф ЕЦ]]*Таб[[#This Row],[% надбавки]],4)</f>
        <v>0.15029999999999999</v>
      </c>
      <c r="S789" s="12"/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BD7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500.30499441655525</v>
      </c>
      <c r="BE7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862.6960021024471</v>
      </c>
      <c r="BF7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1455.4327110299787</v>
      </c>
      <c r="BG7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2068.7098009599495</v>
      </c>
      <c r="BH7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2547.0072443024628</v>
      </c>
      <c r="BI7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2640.9061288850426</v>
      </c>
      <c r="BJ7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2683.4540609615233</v>
      </c>
      <c r="BK7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2319.5958832040287</v>
      </c>
      <c r="BL7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1628.5587794791095</v>
      </c>
      <c r="BM7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1046.0922610527973</v>
      </c>
      <c r="BN7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484.16612362892448</v>
      </c>
      <c r="BO7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409.34044997718155</v>
      </c>
      <c r="BP789">
        <f>SUM(Таб[[#This Row],[1]:[12]])</f>
        <v>18646.264440000003</v>
      </c>
    </row>
    <row r="790" spans="2:68" ht="38.25">
      <c r="B790" t="s">
        <v>384</v>
      </c>
      <c r="C790" t="str">
        <f>IFERROR(VLOOKUP(Таб[[#This Row],[Зелений Тариф ЕЦ]],Sheet6!$H$9:$I$29,2,FALSE),"")</f>
        <v>Дах</v>
      </c>
      <c r="G790" s="1" t="s">
        <v>1965</v>
      </c>
      <c r="H790" t="s">
        <v>62</v>
      </c>
      <c r="I790" t="s">
        <v>1966</v>
      </c>
      <c r="J790" s="29">
        <v>0.17599999999999999</v>
      </c>
      <c r="K790" s="8"/>
      <c r="L790" s="8">
        <v>43762</v>
      </c>
      <c r="M790">
        <v>10</v>
      </c>
      <c r="N790" s="49" t="s">
        <v>71</v>
      </c>
      <c r="O790">
        <v>2019</v>
      </c>
      <c r="P790">
        <v>0.16370000000000001</v>
      </c>
      <c r="Q790" s="10"/>
      <c r="R790" s="11">
        <f>ROUND(Таб[[#This Row],[Зелений Тариф ЕЦ]]+Таб[[#This Row],[Зелений Тариф ЕЦ]]*Таб[[#This Row],[% надбавки]],4)</f>
        <v>0.16370000000000001</v>
      </c>
      <c r="S790" s="12"/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BD7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5.6673539948068301</v>
      </c>
      <c r="BE7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9.7724461845935942</v>
      </c>
      <c r="BF7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16.486847984892595</v>
      </c>
      <c r="BG7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23.433927075300964</v>
      </c>
      <c r="BH7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28.851983973562042</v>
      </c>
      <c r="BI7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29.915651585490593</v>
      </c>
      <c r="BJ7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30.397625972145718</v>
      </c>
      <c r="BK7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26.275913975922577</v>
      </c>
      <c r="BL7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18.447985144385871</v>
      </c>
      <c r="BM7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11.849921989141551</v>
      </c>
      <c r="BN7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5.4845361240066097</v>
      </c>
      <c r="BO7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4.6369259957510423</v>
      </c>
      <c r="BP790">
        <f>SUM(Таб[[#This Row],[1]:[12]])</f>
        <v>211.22112000000004</v>
      </c>
    </row>
    <row r="791" spans="2:68" ht="38.25">
      <c r="B791" t="s">
        <v>384</v>
      </c>
      <c r="C791" t="str">
        <f>IFERROR(VLOOKUP(Таб[[#This Row],[Зелений Тариф ЕЦ]],Sheet6!$H$9:$I$29,2,FALSE),"")</f>
        <v>Земля</v>
      </c>
      <c r="D791" t="s">
        <v>3417</v>
      </c>
      <c r="F791" t="s">
        <v>3418</v>
      </c>
      <c r="G791" s="1" t="s">
        <v>1968</v>
      </c>
      <c r="H791" t="s">
        <v>65</v>
      </c>
      <c r="I791" t="s">
        <v>1970</v>
      </c>
      <c r="J791" s="29">
        <v>12.946999999999999</v>
      </c>
      <c r="K791" s="8"/>
      <c r="L791" s="8">
        <v>43773</v>
      </c>
      <c r="M791">
        <v>11</v>
      </c>
      <c r="N791" s="49" t="s">
        <v>71</v>
      </c>
      <c r="O791">
        <v>2019</v>
      </c>
      <c r="P791">
        <v>0.15029999999999999</v>
      </c>
      <c r="Q791" s="10">
        <v>0.05</v>
      </c>
      <c r="R791" s="11">
        <f>ROUND(Таб[[#This Row],[Зелений Тариф ЕЦ]]+Таб[[#This Row],[Зелений Тариф ЕЦ]]*Таб[[#This Row],[% надбавки]],4)</f>
        <v>0.1578</v>
      </c>
      <c r="S791" s="12">
        <v>43813</v>
      </c>
      <c r="T791"/>
      <c r="BD7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416.90472824297751</v>
      </c>
      <c r="BE7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718.88557245416632</v>
      </c>
      <c r="BF7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1212.8137548886616</v>
      </c>
      <c r="BG7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1723.8582604768276</v>
      </c>
      <c r="BH7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2122.4240710551576</v>
      </c>
      <c r="BI7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2200.6701197576522</v>
      </c>
      <c r="BJ7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2236.1253605759694</v>
      </c>
      <c r="BK7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1932.9219218538046</v>
      </c>
      <c r="BL7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1357.0799071838856</v>
      </c>
      <c r="BM7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871.70988632622539</v>
      </c>
      <c r="BN7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403.45618862223625</v>
      </c>
      <c r="BO7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341.10386856243611</v>
      </c>
      <c r="BP791">
        <f>SUM(Таб[[#This Row],[1]:[12]])</f>
        <v>15537.953640000002</v>
      </c>
    </row>
    <row r="792" spans="2:68" ht="25.5">
      <c r="B792" t="s">
        <v>384</v>
      </c>
      <c r="C792" t="str">
        <f>IFERROR(VLOOKUP(Таб[[#This Row],[Зелений Тариф ЕЦ]],Sheet6!$H$9:$I$29,2,FALSE),"")</f>
        <v>Земля</v>
      </c>
      <c r="G792" s="1" t="s">
        <v>1973</v>
      </c>
      <c r="H792" t="s">
        <v>107</v>
      </c>
      <c r="I792" t="s">
        <v>1975</v>
      </c>
      <c r="J792" s="29">
        <v>4.0220000000000002</v>
      </c>
      <c r="K792" s="8"/>
      <c r="L792" s="8">
        <v>43773</v>
      </c>
      <c r="M792">
        <v>11</v>
      </c>
      <c r="N792" s="49" t="s">
        <v>71</v>
      </c>
      <c r="O792">
        <v>2019</v>
      </c>
      <c r="P792">
        <v>0.15029999999999999</v>
      </c>
      <c r="Q792" s="10"/>
      <c r="R792" s="11">
        <f>ROUND(Таб[[#This Row],[Зелений Тариф ЕЦ]]+Таб[[#This Row],[Зелений Тариф ЕЦ]]*Таб[[#This Row],[% надбавки]],4)</f>
        <v>0.15029999999999999</v>
      </c>
      <c r="S792" s="12"/>
      <c r="T792"/>
      <c r="BD7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129.5119191313243</v>
      </c>
      <c r="BE7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223.32260542292866</v>
      </c>
      <c r="BF7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376.76194656385235</v>
      </c>
      <c r="BG7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535.51849259579831</v>
      </c>
      <c r="BH7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659.33340648674175</v>
      </c>
      <c r="BI7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683.64062884570001</v>
      </c>
      <c r="BJ7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694.65483897710283</v>
      </c>
      <c r="BK7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600.46435233613977</v>
      </c>
      <c r="BL7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421.57838778818171</v>
      </c>
      <c r="BM7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270.79764909276889</v>
      </c>
      <c r="BN7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125.33411528837834</v>
      </c>
      <c r="BO7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105.96429747108351</v>
      </c>
      <c r="BP792">
        <f>SUM(Таб[[#This Row],[1]:[12]])</f>
        <v>4826.8826399999998</v>
      </c>
    </row>
    <row r="793" spans="2:68" ht="51">
      <c r="B793" t="s">
        <v>384</v>
      </c>
      <c r="C793" t="str">
        <f>IFERROR(VLOOKUP(Таб[[#This Row],[Зелений Тариф ЕЦ]],Sheet6!$H$9:$I$29,2,FALSE),"")</f>
        <v>Земля</v>
      </c>
      <c r="G793" s="1" t="s">
        <v>1977</v>
      </c>
      <c r="H793" t="s">
        <v>198</v>
      </c>
      <c r="I793" t="s">
        <v>1978</v>
      </c>
      <c r="J793" s="29">
        <v>0.56699999999999995</v>
      </c>
      <c r="K793" s="8"/>
      <c r="L793" s="8">
        <v>43773</v>
      </c>
      <c r="M793">
        <v>11</v>
      </c>
      <c r="N793" s="49" t="s">
        <v>71</v>
      </c>
      <c r="O793">
        <v>2019</v>
      </c>
      <c r="P793">
        <v>0.15029999999999999</v>
      </c>
      <c r="Q793" s="10"/>
      <c r="R793" s="11">
        <f>ROUND(Таб[[#This Row],[Зелений Тариф ЕЦ]]+Таб[[#This Row],[Зелений Тариф ЕЦ]]*Таб[[#This Row],[% надбавки]],4)</f>
        <v>0.15029999999999999</v>
      </c>
      <c r="S793" s="12"/>
      <c r="T793"/>
      <c r="BD7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18.257896108269733</v>
      </c>
      <c r="BE7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31.482823787866863</v>
      </c>
      <c r="BF7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53.113879587693759</v>
      </c>
      <c r="BG7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75.494526430088911</v>
      </c>
      <c r="BH7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92.949289278464065</v>
      </c>
      <c r="BI7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96.375991187347537</v>
      </c>
      <c r="BJ7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97.928715489810372</v>
      </c>
      <c r="BK7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84.650245592886932</v>
      </c>
      <c r="BL7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59.431861232197647</v>
      </c>
      <c r="BM7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38.175600953654886</v>
      </c>
      <c r="BN7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17.668931717680387</v>
      </c>
      <c r="BO7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14.93827863403887</v>
      </c>
      <c r="BP793">
        <f>SUM(Таб[[#This Row],[1]:[12]])</f>
        <v>680.46803999999997</v>
      </c>
    </row>
    <row r="794" spans="2:68" ht="25.5">
      <c r="B794" t="s">
        <v>384</v>
      </c>
      <c r="C794" t="str">
        <f>IFERROR(VLOOKUP(Таб[[#This Row],[Зелений Тариф ЕЦ]],Sheet6!$H$9:$I$29,2,FALSE),"")</f>
        <v>Земля</v>
      </c>
      <c r="G794" s="1" t="s">
        <v>1981</v>
      </c>
      <c r="H794" t="s">
        <v>233</v>
      </c>
      <c r="I794" t="s">
        <v>1982</v>
      </c>
      <c r="J794" s="29">
        <v>6.9690000000000003</v>
      </c>
      <c r="K794" s="8"/>
      <c r="L794" s="8">
        <v>43773</v>
      </c>
      <c r="M794">
        <v>11</v>
      </c>
      <c r="N794" s="49" t="s">
        <v>71</v>
      </c>
      <c r="O794">
        <v>2019</v>
      </c>
      <c r="P794">
        <v>0.15029999999999999</v>
      </c>
      <c r="Q794" s="10"/>
      <c r="R794" s="11">
        <f>ROUND(Таб[[#This Row],[Зелений Тариф ЕЦ]]+Таб[[#This Row],[Зелений Тариф ЕЦ]]*Таб[[#This Row],[% надбавки]],4)</f>
        <v>0.15029999999999999</v>
      </c>
      <c r="S794" s="12"/>
      <c r="T794"/>
      <c r="BD7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224.4078976693682</v>
      </c>
      <c r="BE7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386.95555375245885</v>
      </c>
      <c r="BF7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652.82297503816187</v>
      </c>
      <c r="BG7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927.9036237941616</v>
      </c>
      <c r="BH7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1142.4402063167836</v>
      </c>
      <c r="BI7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1184.557817609568</v>
      </c>
      <c r="BJ7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1203.6423602266111</v>
      </c>
      <c r="BK7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1040.4366164670705</v>
      </c>
      <c r="BL7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730.47732085923371</v>
      </c>
      <c r="BM7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469.21651330867888</v>
      </c>
      <c r="BN7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217.16893322842083</v>
      </c>
      <c r="BO7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183.60646172948304</v>
      </c>
      <c r="BP794">
        <f>SUM(Таб[[#This Row],[1]:[12]])</f>
        <v>8363.6362800000006</v>
      </c>
    </row>
    <row r="795" spans="2:68" ht="38.25">
      <c r="B795" t="s">
        <v>384</v>
      </c>
      <c r="C795" t="str">
        <f>IFERROR(VLOOKUP(Таб[[#This Row],[Зелений Тариф ЕЦ]],Sheet6!$H$9:$I$29,2,FALSE),"")</f>
        <v>Земля</v>
      </c>
      <c r="G795" s="1" t="s">
        <v>1984</v>
      </c>
      <c r="H795" t="s">
        <v>82</v>
      </c>
      <c r="J795" s="29">
        <v>6.4980000000000002</v>
      </c>
      <c r="K795" s="8"/>
      <c r="L795" s="8">
        <v>43773</v>
      </c>
      <c r="M795">
        <v>11</v>
      </c>
      <c r="N795" s="49" t="s">
        <v>71</v>
      </c>
      <c r="O795">
        <v>2019</v>
      </c>
      <c r="P795">
        <v>0.15029999999999999</v>
      </c>
      <c r="Q795" s="10"/>
      <c r="R795" s="11">
        <f>ROUND(Таб[[#This Row],[Зелений Тариф ЕЦ]]+Таб[[#This Row],[Зелений Тариф ЕЦ]]*Таб[[#This Row],[% надбавки]],4)</f>
        <v>0.15029999999999999</v>
      </c>
      <c r="S795" s="12"/>
      <c r="T795"/>
      <c r="BD7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209.24128555826584</v>
      </c>
      <c r="BE7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360.80315515618861</v>
      </c>
      <c r="BF7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608.70192162404601</v>
      </c>
      <c r="BG7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865.19123940514601</v>
      </c>
      <c r="BH7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1065.2283628420805</v>
      </c>
      <c r="BI7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1104.4994545597608</v>
      </c>
      <c r="BJ7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1122.2941679943347</v>
      </c>
      <c r="BK7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970.11868758832338</v>
      </c>
      <c r="BL7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681.10799697851928</v>
      </c>
      <c r="BM7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437.50450616728301</v>
      </c>
      <c r="BN7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202.49156666928951</v>
      </c>
      <c r="BO7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171.19741545676294</v>
      </c>
      <c r="BP795">
        <f>SUM(Таб[[#This Row],[1]:[12]])</f>
        <v>7798.3797600000016</v>
      </c>
    </row>
    <row r="796" spans="2:68" ht="38.25">
      <c r="B796" t="s">
        <v>384</v>
      </c>
      <c r="C796" t="str">
        <f>IFERROR(VLOOKUP(Таб[[#This Row],[Зелений Тариф ЕЦ]],Sheet6!$H$9:$I$29,2,FALSE),"")</f>
        <v>Земля</v>
      </c>
      <c r="G796" s="1" t="s">
        <v>1986</v>
      </c>
      <c r="H796" t="s">
        <v>136</v>
      </c>
      <c r="J796" s="29">
        <v>1.0209999999999999</v>
      </c>
      <c r="K796" s="8"/>
      <c r="L796" s="8">
        <v>43773</v>
      </c>
      <c r="M796">
        <v>11</v>
      </c>
      <c r="N796" s="49" t="s">
        <v>71</v>
      </c>
      <c r="O796">
        <v>2019</v>
      </c>
      <c r="P796">
        <v>0.15029999999999999</v>
      </c>
      <c r="Q796" s="10"/>
      <c r="R796" s="11">
        <f>ROUND(Таб[[#This Row],[Зелений Тариф ЕЦ]]+Таб[[#This Row],[Зелений Тариф ЕЦ]]*Таб[[#This Row],[% надбавки]],4)</f>
        <v>0.15029999999999999</v>
      </c>
      <c r="S796" s="12"/>
      <c r="T796"/>
      <c r="BD7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32.877093344873714</v>
      </c>
      <c r="BE7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56.691292923125346</v>
      </c>
      <c r="BF7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95.642453366905343</v>
      </c>
      <c r="BG7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135.94340649933116</v>
      </c>
      <c r="BH7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167.37429339208435</v>
      </c>
      <c r="BI7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173.54477425446532</v>
      </c>
      <c r="BJ7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176.34077339523171</v>
      </c>
      <c r="BK7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152.4301600535054</v>
      </c>
      <c r="BL7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107.01927745692029</v>
      </c>
      <c r="BM7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68.743013357463212</v>
      </c>
      <c r="BN7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31.816541946651981</v>
      </c>
      <c r="BO7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26.899440009442131</v>
      </c>
      <c r="BP796">
        <f>SUM(Таб[[#This Row],[1]:[12]])</f>
        <v>1225.3225199999999</v>
      </c>
    </row>
    <row r="797" spans="2:68" ht="38.25">
      <c r="B797" t="s">
        <v>384</v>
      </c>
      <c r="C797" t="str">
        <f>IFERROR(VLOOKUP(Таб[[#This Row],[Зелений Тариф ЕЦ]],Sheet6!$H$9:$I$29,2,FALSE),"")</f>
        <v>Земля</v>
      </c>
      <c r="D797" t="s">
        <v>3372</v>
      </c>
      <c r="F797" t="s">
        <v>3287</v>
      </c>
      <c r="G797" s="1" t="s">
        <v>1989</v>
      </c>
      <c r="H797" t="s">
        <v>233</v>
      </c>
      <c r="J797" s="29">
        <v>6.2370000000000001</v>
      </c>
      <c r="K797" s="8"/>
      <c r="L797" s="8">
        <v>43773</v>
      </c>
      <c r="M797">
        <v>11</v>
      </c>
      <c r="N797" s="49" t="s">
        <v>71</v>
      </c>
      <c r="O797">
        <v>2019</v>
      </c>
      <c r="P797">
        <v>0.15029999999999999</v>
      </c>
      <c r="Q797" s="10"/>
      <c r="R797" s="11">
        <f>ROUND(Таб[[#This Row],[Зелений Тариф ЕЦ]]+Таб[[#This Row],[Зелений Тариф ЕЦ]]*Таб[[#This Row],[% надбавки]],4)</f>
        <v>0.15029999999999999</v>
      </c>
      <c r="S797" s="12"/>
      <c r="T797"/>
      <c r="BD7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200.83685719096707</v>
      </c>
      <c r="BE7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346.31106166653558</v>
      </c>
      <c r="BF7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584.25267546463147</v>
      </c>
      <c r="BG7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830.43979073097796</v>
      </c>
      <c r="BH7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1022.4421820631048</v>
      </c>
      <c r="BI7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1060.1359030608232</v>
      </c>
      <c r="BJ7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1077.2158703879143</v>
      </c>
      <c r="BK7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931.15270152175617</v>
      </c>
      <c r="BL7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653.75047355417428</v>
      </c>
      <c r="BM7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419.93161049020381</v>
      </c>
      <c r="BN7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194.35824889448423</v>
      </c>
      <c r="BO7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164.32106497442757</v>
      </c>
      <c r="BP797">
        <f>SUM(Таб[[#This Row],[1]:[12]])</f>
        <v>7485.1484400000008</v>
      </c>
    </row>
    <row r="798" spans="2:68" ht="38.25">
      <c r="B798" t="s">
        <v>384</v>
      </c>
      <c r="C798" t="str">
        <f>IFERROR(VLOOKUP(Таб[[#This Row],[Зелений Тариф ЕЦ]],Sheet6!$H$9:$I$29,2,FALSE),"")</f>
        <v>Земля</v>
      </c>
      <c r="G798" s="1" t="s">
        <v>1992</v>
      </c>
      <c r="H798" t="s">
        <v>185</v>
      </c>
      <c r="J798" s="29">
        <v>1.7549999999999999</v>
      </c>
      <c r="K798" s="8"/>
      <c r="L798" s="8">
        <v>43773</v>
      </c>
      <c r="M798">
        <v>11</v>
      </c>
      <c r="N798" s="49" t="s">
        <v>71</v>
      </c>
      <c r="O798">
        <v>2019</v>
      </c>
      <c r="P798">
        <v>0.15029999999999999</v>
      </c>
      <c r="Q798" s="10"/>
      <c r="R798" s="11">
        <f>ROUND(Таб[[#This Row],[Зелений Тариф ЕЦ]]+Таб[[#This Row],[Зелений Тариф ЕЦ]]*Таб[[#This Row],[% надбавки]],4)</f>
        <v>0.15029999999999999</v>
      </c>
      <c r="S798" s="12"/>
      <c r="T798"/>
      <c r="BD7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56.512535573215835</v>
      </c>
      <c r="BE7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97.446835533873639</v>
      </c>
      <c r="BF7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164.40010348571877</v>
      </c>
      <c r="BG7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233.67353418837044</v>
      </c>
      <c r="BH7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287.70018110000785</v>
      </c>
      <c r="BI7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298.3066393894091</v>
      </c>
      <c r="BJ7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303.11269080179397</v>
      </c>
      <c r="BK7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262.01266493036428</v>
      </c>
      <c r="BL7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183.95576095680227</v>
      </c>
      <c r="BM7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118.16257438036035</v>
      </c>
      <c r="BN7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54.68955055472501</v>
      </c>
      <c r="BO7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46.237529105358405</v>
      </c>
      <c r="BP798">
        <f>SUM(Таб[[#This Row],[1]:[12]])</f>
        <v>2106.2106000000003</v>
      </c>
    </row>
    <row r="799" spans="2:68" ht="38.25">
      <c r="B799" t="s">
        <v>384</v>
      </c>
      <c r="C799" t="str">
        <f>IFERROR(VLOOKUP(Таб[[#This Row],[Зелений Тариф ЕЦ]],Sheet6!$H$9:$I$29,2,FALSE),"")</f>
        <v>Земля</v>
      </c>
      <c r="G799" s="1" t="s">
        <v>1994</v>
      </c>
      <c r="H799" t="s">
        <v>82</v>
      </c>
      <c r="J799" s="29">
        <v>3.96</v>
      </c>
      <c r="K799" s="8"/>
      <c r="L799" s="8">
        <v>43773</v>
      </c>
      <c r="M799">
        <v>11</v>
      </c>
      <c r="N799" s="49" t="s">
        <v>71</v>
      </c>
      <c r="O799">
        <v>2019</v>
      </c>
      <c r="P799">
        <v>0.15029999999999999</v>
      </c>
      <c r="Q799" s="10"/>
      <c r="R799" s="11">
        <f>ROUND(Таб[[#This Row],[Зелений Тариф ЕЦ]]+Таб[[#This Row],[Зелений Тариф ЕЦ]]*Таб[[#This Row],[% надбавки]],4)</f>
        <v>0.15029999999999999</v>
      </c>
      <c r="S799" s="12"/>
      <c r="T799"/>
      <c r="BD7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127.5154648831537</v>
      </c>
      <c r="BE7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219.88003915335588</v>
      </c>
      <c r="BF7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370.95407966008338</v>
      </c>
      <c r="BG7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527.26335919427174</v>
      </c>
      <c r="BH7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649.16963940514597</v>
      </c>
      <c r="BI7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673.10216067353849</v>
      </c>
      <c r="BJ7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683.94658437327871</v>
      </c>
      <c r="BK7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591.20806445825792</v>
      </c>
      <c r="BL7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415.07966574868209</v>
      </c>
      <c r="BM7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266.62324475568494</v>
      </c>
      <c r="BN7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123.40206279014873</v>
      </c>
      <c r="BO7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104.33083490439844</v>
      </c>
      <c r="BP799">
        <f>SUM(Таб[[#This Row],[1]:[12]])</f>
        <v>4752.4751999999999</v>
      </c>
    </row>
    <row r="800" spans="2:68" ht="63.75">
      <c r="B800" t="s">
        <v>384</v>
      </c>
      <c r="C800" t="str">
        <f>IFERROR(VLOOKUP(Таб[[#This Row],[Зелений Тариф ЕЦ]],Sheet6!$H$9:$I$29,2,FALSE),"")</f>
        <v>Дах</v>
      </c>
      <c r="G800" s="1" t="s">
        <v>1997</v>
      </c>
      <c r="H800" t="s">
        <v>62</v>
      </c>
      <c r="J800" s="29">
        <v>0.32700000000000001</v>
      </c>
      <c r="K800" s="8"/>
      <c r="L800" s="8">
        <v>43773</v>
      </c>
      <c r="M800">
        <v>11</v>
      </c>
      <c r="N800" s="49" t="s">
        <v>71</v>
      </c>
      <c r="O800">
        <v>2019</v>
      </c>
      <c r="P800">
        <v>0.16370000000000001</v>
      </c>
      <c r="Q800" s="10"/>
      <c r="R800" s="11">
        <f>ROUND(Таб[[#This Row],[Зелений Тариф ЕЦ]]+Таб[[#This Row],[Зелений Тариф ЕЦ]]*Таб[[#This Row],[% надбавки]],4)</f>
        <v>0.16370000000000001</v>
      </c>
      <c r="S800" s="12"/>
      <c r="T800"/>
      <c r="BD8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10.529686115351328</v>
      </c>
      <c r="BE8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18.156760808875603</v>
      </c>
      <c r="BF8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30.63181415374931</v>
      </c>
      <c r="BG8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43.539171327405775</v>
      </c>
      <c r="BH8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53.605674769061295</v>
      </c>
      <c r="BI8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55.581920843496746</v>
      </c>
      <c r="BJ8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56.477407345975294</v>
      </c>
      <c r="BK8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48.819453807537968</v>
      </c>
      <c r="BL8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34.275517853489653</v>
      </c>
      <c r="BM8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22.016616423007317</v>
      </c>
      <c r="BN8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10.190018821307735</v>
      </c>
      <c r="BO8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8.6151977307419934</v>
      </c>
      <c r="BP800">
        <f>SUM(Таб[[#This Row],[1]:[12]])</f>
        <v>392.43923999999998</v>
      </c>
    </row>
    <row r="801" spans="2:68" ht="38.25">
      <c r="B801" t="s">
        <v>384</v>
      </c>
      <c r="C801" t="str">
        <f>IFERROR(VLOOKUP(Таб[[#This Row],[Зелений Тариф ЕЦ]],Sheet6!$H$9:$I$29,2,FALSE),"")</f>
        <v>Дах</v>
      </c>
      <c r="G801" s="1" t="s">
        <v>2000</v>
      </c>
      <c r="H801" t="s">
        <v>122</v>
      </c>
      <c r="J801" s="29">
        <v>0.16500000000000001</v>
      </c>
      <c r="K801" s="8"/>
      <c r="L801" s="8">
        <v>43773</v>
      </c>
      <c r="M801">
        <v>11</v>
      </c>
      <c r="N801" s="49" t="s">
        <v>71</v>
      </c>
      <c r="O801">
        <v>2019</v>
      </c>
      <c r="P801">
        <v>0.16370000000000001</v>
      </c>
      <c r="Q801" s="10"/>
      <c r="R801" s="11">
        <f>ROUND(Таб[[#This Row],[Зелений Тариф ЕЦ]]+Таб[[#This Row],[Зелений Тариф ЕЦ]]*Таб[[#This Row],[% надбавки]],4)</f>
        <v>0.16370000000000001</v>
      </c>
      <c r="S801" s="12"/>
      <c r="T801"/>
      <c r="BD8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5.3131443701314041</v>
      </c>
      <c r="BE8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9.1616682980564956</v>
      </c>
      <c r="BF8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15.45641998583681</v>
      </c>
      <c r="BG8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21.969306633094657</v>
      </c>
      <c r="BH8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27.048734975214412</v>
      </c>
      <c r="BI8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28.045923361397435</v>
      </c>
      <c r="BJ8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28.497774348886619</v>
      </c>
      <c r="BK8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24.633669352427418</v>
      </c>
      <c r="BL8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17.294986072861754</v>
      </c>
      <c r="BM8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11.109301864820207</v>
      </c>
      <c r="BN8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5.1417526162561984</v>
      </c>
      <c r="BO8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4.347118121016603</v>
      </c>
      <c r="BP801">
        <f>SUM(Таб[[#This Row],[1]:[12]])</f>
        <v>198.01980000000003</v>
      </c>
    </row>
    <row r="802" spans="2:68" ht="25.5">
      <c r="B802" t="s">
        <v>384</v>
      </c>
      <c r="C802" t="str">
        <f>IFERROR(VLOOKUP(Таб[[#This Row],[Зелений Тариф ЕЦ]],Sheet6!$H$9:$I$29,2,FALSE),"")</f>
        <v>Земля</v>
      </c>
      <c r="G802" s="1" t="s">
        <v>1675</v>
      </c>
      <c r="H802" t="s">
        <v>163</v>
      </c>
      <c r="J802" s="29">
        <v>0.46899999999999997</v>
      </c>
      <c r="K802" s="8"/>
      <c r="L802" s="8">
        <v>43773</v>
      </c>
      <c r="M802">
        <v>11</v>
      </c>
      <c r="N802" s="49" t="s">
        <v>71</v>
      </c>
      <c r="O802">
        <v>2019</v>
      </c>
      <c r="P802">
        <v>0.15029999999999999</v>
      </c>
      <c r="Q802" s="10"/>
      <c r="R802" s="11">
        <f>ROUND(Таб[[#This Row],[Зелений Тариф ЕЦ]]+Таб[[#This Row],[Зелений Тариф ЕЦ]]*Таб[[#This Row],[% надбавки]],4)</f>
        <v>0.15029999999999999</v>
      </c>
      <c r="S802" s="12"/>
      <c r="T802"/>
      <c r="BD8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15.102210361161383</v>
      </c>
      <c r="BE8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26.041348071445434</v>
      </c>
      <c r="BF8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43.933702868833109</v>
      </c>
      <c r="BG8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62.446089763159961</v>
      </c>
      <c r="BH8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76.88398002045794</v>
      </c>
      <c r="BI8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79.718412463608459</v>
      </c>
      <c r="BJ8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81.002764664411046</v>
      </c>
      <c r="BK8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70.019338947202769</v>
      </c>
      <c r="BL8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49.159687685891889</v>
      </c>
      <c r="BM8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31.577348936973792</v>
      </c>
      <c r="BN8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14.615042284994889</v>
      </c>
      <c r="BO8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12.356353931859312</v>
      </c>
      <c r="BP802">
        <f>SUM(Таб[[#This Row],[1]:[12]])</f>
        <v>562.85627999999986</v>
      </c>
    </row>
    <row r="803" spans="2:68" ht="38.25">
      <c r="B803" t="s">
        <v>384</v>
      </c>
      <c r="C803" t="str">
        <f>IFERROR(VLOOKUP(Таб[[#This Row],[Зелений Тариф ЕЦ]],Sheet6!$H$9:$I$29,2,FALSE),"")</f>
        <v>Земля</v>
      </c>
      <c r="G803" s="1" t="s">
        <v>1721</v>
      </c>
      <c r="H803" t="s">
        <v>198</v>
      </c>
      <c r="J803" s="29">
        <v>2.7970000000000002</v>
      </c>
      <c r="K803" s="8"/>
      <c r="L803" s="8">
        <v>43773</v>
      </c>
      <c r="M803">
        <v>11</v>
      </c>
      <c r="N803" s="49" t="s">
        <v>71</v>
      </c>
      <c r="O803">
        <v>2019</v>
      </c>
      <c r="P803">
        <v>0.15029999999999999</v>
      </c>
      <c r="Q803" s="10"/>
      <c r="R803" s="11">
        <f>ROUND(Таб[[#This Row],[Зелений Тариф ЕЦ]]+Таб[[#This Row],[Зелений Тариф ЕЦ]]*Таб[[#This Row],[% надбавки]],4)</f>
        <v>0.15029999999999999</v>
      </c>
      <c r="S803" s="12"/>
      <c r="T803"/>
      <c r="BD8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90.065847292469925</v>
      </c>
      <c r="BE8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155.30415896766073</v>
      </c>
      <c r="BF8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262.0097375780943</v>
      </c>
      <c r="BG8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372.41303425918642</v>
      </c>
      <c r="BH8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458.51704076166504</v>
      </c>
      <c r="BI8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475.4208947989614</v>
      </c>
      <c r="BJ8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483.08045365961135</v>
      </c>
      <c r="BK8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417.57801926508779</v>
      </c>
      <c r="BL8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293.17621845935957</v>
      </c>
      <c r="BM8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188.31949888425524</v>
      </c>
      <c r="BN8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87.160497379809598</v>
      </c>
      <c r="BO8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73.690238693839021</v>
      </c>
      <c r="BP803">
        <f>SUM(Таб[[#This Row],[1]:[12]])</f>
        <v>3356.7356400000003</v>
      </c>
    </row>
    <row r="804" spans="2:68" ht="76.5">
      <c r="B804" t="s">
        <v>384</v>
      </c>
      <c r="C804" t="str">
        <f>IFERROR(VLOOKUP(Таб[[#This Row],[Зелений Тариф ЕЦ]],Sheet6!$H$9:$I$29,2,FALSE),"")</f>
        <v>Дах</v>
      </c>
      <c r="G804" s="1" t="s">
        <v>2006</v>
      </c>
      <c r="H804" t="s">
        <v>198</v>
      </c>
      <c r="J804" s="29">
        <v>0.2</v>
      </c>
      <c r="K804" s="8"/>
      <c r="L804" s="8">
        <v>43773</v>
      </c>
      <c r="M804">
        <v>11</v>
      </c>
      <c r="N804" s="49" t="s">
        <v>71</v>
      </c>
      <c r="O804">
        <v>2019</v>
      </c>
      <c r="P804">
        <v>0.16370000000000001</v>
      </c>
      <c r="Q804" s="10"/>
      <c r="R804" s="11">
        <f>ROUND(Таб[[#This Row],[Зелений Тариф ЕЦ]]+Таб[[#This Row],[Зелений Тариф ЕЦ]]*Таб[[#This Row],[% надбавки]],4)</f>
        <v>0.16370000000000001</v>
      </c>
      <c r="S804" s="12"/>
      <c r="T804"/>
      <c r="BD8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6.4401749940986726</v>
      </c>
      <c r="BE8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11.105052482492724</v>
      </c>
      <c r="BF8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18.735054528287041</v>
      </c>
      <c r="BG8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26.629462585569279</v>
      </c>
      <c r="BH8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32.786345424502322</v>
      </c>
      <c r="BI8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33.995058619875678</v>
      </c>
      <c r="BJ8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34.542756786529232</v>
      </c>
      <c r="BK8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29.858993154457472</v>
      </c>
      <c r="BL8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20.963619482256675</v>
      </c>
      <c r="BM8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13.465820442206311</v>
      </c>
      <c r="BN8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6.232427413643876</v>
      </c>
      <c r="BO8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5.269234086080731</v>
      </c>
      <c r="BP804">
        <f>SUM(Таб[[#This Row],[1]:[12]])</f>
        <v>240.02399999999997</v>
      </c>
    </row>
    <row r="805" spans="2:68" ht="38.25">
      <c r="B805" t="s">
        <v>384</v>
      </c>
      <c r="C805" t="str">
        <f>IFERROR(VLOOKUP(Таб[[#This Row],[Зелений Тариф ЕЦ]],Sheet6!$H$9:$I$29,2,FALSE),"")</f>
        <v>Дах</v>
      </c>
      <c r="G805" s="1" t="s">
        <v>2008</v>
      </c>
      <c r="H805" t="s">
        <v>73</v>
      </c>
      <c r="J805" s="29">
        <v>0.2</v>
      </c>
      <c r="K805" s="8"/>
      <c r="L805" s="8">
        <v>43773</v>
      </c>
      <c r="M805">
        <v>11</v>
      </c>
      <c r="N805" s="49" t="s">
        <v>71</v>
      </c>
      <c r="O805">
        <v>2019</v>
      </c>
      <c r="P805">
        <v>0.16370000000000001</v>
      </c>
      <c r="Q805" s="10"/>
      <c r="R805" s="11">
        <f>ROUND(Таб[[#This Row],[Зелений Тариф ЕЦ]]+Таб[[#This Row],[Зелений Тариф ЕЦ]]*Таб[[#This Row],[% надбавки]],4)</f>
        <v>0.16370000000000001</v>
      </c>
      <c r="S805" s="12"/>
      <c r="T805"/>
      <c r="BD8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6.4401749940986726</v>
      </c>
      <c r="BE8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11.105052482492724</v>
      </c>
      <c r="BF8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18.735054528287041</v>
      </c>
      <c r="BG8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26.629462585569279</v>
      </c>
      <c r="BH8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32.786345424502322</v>
      </c>
      <c r="BI8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33.995058619875678</v>
      </c>
      <c r="BJ8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34.542756786529232</v>
      </c>
      <c r="BK8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29.858993154457472</v>
      </c>
      <c r="BL8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20.963619482256675</v>
      </c>
      <c r="BM8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13.465820442206311</v>
      </c>
      <c r="BN8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6.232427413643876</v>
      </c>
      <c r="BO8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5.269234086080731</v>
      </c>
      <c r="BP805">
        <f>SUM(Таб[[#This Row],[1]:[12]])</f>
        <v>240.02399999999997</v>
      </c>
    </row>
    <row r="806" spans="2:68" ht="51">
      <c r="B806" t="s">
        <v>384</v>
      </c>
      <c r="C806" t="str">
        <f>IFERROR(VLOOKUP(Таб[[#This Row],[Зелений Тариф ЕЦ]],Sheet6!$H$9:$I$29,2,FALSE),"")</f>
        <v>Дах</v>
      </c>
      <c r="G806" s="1" t="s">
        <v>2010</v>
      </c>
      <c r="H806" t="s">
        <v>233</v>
      </c>
      <c r="J806" s="29">
        <v>0.76100000000000001</v>
      </c>
      <c r="K806" s="8"/>
      <c r="L806" s="8">
        <v>43773</v>
      </c>
      <c r="M806">
        <v>11</v>
      </c>
      <c r="N806" s="49" t="s">
        <v>71</v>
      </c>
      <c r="O806">
        <v>2019</v>
      </c>
      <c r="P806">
        <v>0.16370000000000001</v>
      </c>
      <c r="Q806" s="10"/>
      <c r="R806" s="11">
        <f>ROUND(Таб[[#This Row],[Зелений Тариф ЕЦ]]+Таб[[#This Row],[Зелений Тариф ЕЦ]]*Таб[[#This Row],[% надбавки]],4)</f>
        <v>0.16370000000000001</v>
      </c>
      <c r="S806" s="12"/>
      <c r="T806"/>
      <c r="BD8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24.504865852545446</v>
      </c>
      <c r="BE8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42.254724695884804</v>
      </c>
      <c r="BF8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71.286882480132192</v>
      </c>
      <c r="BG8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101.32510513809112</v>
      </c>
      <c r="BH8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124.75204434023134</v>
      </c>
      <c r="BI8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129.35119804862697</v>
      </c>
      <c r="BJ8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131.43518957274372</v>
      </c>
      <c r="BK8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113.61346895271069</v>
      </c>
      <c r="BL8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79.766572129986628</v>
      </c>
      <c r="BM8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51.237446782595008</v>
      </c>
      <c r="BN8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23.714386308914946</v>
      </c>
      <c r="BO8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20.049435697537177</v>
      </c>
      <c r="BP806">
        <f>SUM(Таб[[#This Row],[1]:[12]])</f>
        <v>913.29132000000016</v>
      </c>
    </row>
    <row r="807" spans="2:68" ht="38.25">
      <c r="B807" t="s">
        <v>384</v>
      </c>
      <c r="C807" t="str">
        <f>IFERROR(VLOOKUP(Таб[[#This Row],[Зелений Тариф ЕЦ]],Sheet6!$H$9:$I$29,2,FALSE),"")</f>
        <v>Земля</v>
      </c>
      <c r="D807" t="s">
        <v>3388</v>
      </c>
      <c r="F807" t="s">
        <v>3287</v>
      </c>
      <c r="G807" s="1" t="s">
        <v>2013</v>
      </c>
      <c r="H807" t="s">
        <v>82</v>
      </c>
      <c r="J807" s="7">
        <v>21.219000000000001</v>
      </c>
      <c r="K807" s="8">
        <v>43753</v>
      </c>
      <c r="L807" s="8">
        <v>43783</v>
      </c>
      <c r="M807">
        <v>11</v>
      </c>
      <c r="N807" s="49" t="s">
        <v>71</v>
      </c>
      <c r="O807">
        <v>2019</v>
      </c>
      <c r="P807">
        <v>0.15029999999999999</v>
      </c>
      <c r="Q807" s="10"/>
      <c r="R807" s="11">
        <f>ROUND(Таб[[#This Row],[Зелений Тариф ЕЦ]]+Таб[[#This Row],[Зелений Тариф ЕЦ]]*Таб[[#This Row],[% надбавки]],4)</f>
        <v>0.15029999999999999</v>
      </c>
      <c r="S807" s="12"/>
      <c r="T807"/>
      <c r="BD8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683.27036599889857</v>
      </c>
      <c r="BE8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1178.1905431300654</v>
      </c>
      <c r="BF8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1987.6956101786136</v>
      </c>
      <c r="BG8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2825.252833015973</v>
      </c>
      <c r="BH8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3478.4673178125736</v>
      </c>
      <c r="BI8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3606.7057442757105</v>
      </c>
      <c r="BJ8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3664.8137812668192</v>
      </c>
      <c r="BK8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3167.8898787221651</v>
      </c>
      <c r="BL8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2224.1352089700217</v>
      </c>
      <c r="BM8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1428.6562198158783</v>
      </c>
      <c r="BN8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661.22938645054705</v>
      </c>
      <c r="BO8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559.03939036273505</v>
      </c>
      <c r="BP807">
        <f>SUM(Таб[[#This Row],[1]:[12]])</f>
        <v>25465.346280000002</v>
      </c>
    </row>
    <row r="808" spans="2:68" ht="51">
      <c r="B808" t="s">
        <v>384</v>
      </c>
      <c r="C808" t="str">
        <f>IFERROR(VLOOKUP(Таб[[#This Row],[Зелений Тариф ЕЦ]],Sheet6!$H$9:$I$29,2,FALSE),"")</f>
        <v>Земля</v>
      </c>
      <c r="G808" s="1" t="s">
        <v>2015</v>
      </c>
      <c r="H808" t="s">
        <v>82</v>
      </c>
      <c r="I808" t="s">
        <v>3310</v>
      </c>
      <c r="J808" s="7">
        <v>4.9139999999999997</v>
      </c>
      <c r="K808" s="8">
        <v>43734</v>
      </c>
      <c r="L808" s="8">
        <v>43783</v>
      </c>
      <c r="M808">
        <v>11</v>
      </c>
      <c r="N808" s="49" t="s">
        <v>71</v>
      </c>
      <c r="O808">
        <v>2019</v>
      </c>
      <c r="P808">
        <v>0.15029999999999999</v>
      </c>
      <c r="Q808" s="10"/>
      <c r="R808" s="11">
        <f>ROUND(Таб[[#This Row],[Зелений Тариф ЕЦ]]+Таб[[#This Row],[Зелений Тариф ЕЦ]]*Таб[[#This Row],[% надбавки]],4)</f>
        <v>0.15029999999999999</v>
      </c>
      <c r="S808" s="12"/>
      <c r="T808"/>
      <c r="BD8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158.23509960500434</v>
      </c>
      <c r="BE8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272.85113949484617</v>
      </c>
      <c r="BF8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460.32028976001254</v>
      </c>
      <c r="BG8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654.28589572743715</v>
      </c>
      <c r="BH8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805.56050708002203</v>
      </c>
      <c r="BI8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835.25859029034541</v>
      </c>
      <c r="BJ8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848.71553424502304</v>
      </c>
      <c r="BK8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733.63546180501999</v>
      </c>
      <c r="BL8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515.07613067904629</v>
      </c>
      <c r="BM8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330.85520826500897</v>
      </c>
      <c r="BN8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153.13074155323</v>
      </c>
      <c r="BO8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129.46508149500355</v>
      </c>
      <c r="BP808">
        <f>SUM(Таб[[#This Row],[1]:[12]])</f>
        <v>5897.3896800000002</v>
      </c>
    </row>
    <row r="809" spans="2:68" ht="51">
      <c r="B809" t="s">
        <v>384</v>
      </c>
      <c r="C809" t="str">
        <f>IFERROR(VLOOKUP(Таб[[#This Row],[Зелений Тариф ЕЦ]],Sheet6!$H$9:$I$29,2,FALSE),"")</f>
        <v>Земля</v>
      </c>
      <c r="G809" s="1" t="s">
        <v>2017</v>
      </c>
      <c r="H809" t="s">
        <v>172</v>
      </c>
      <c r="I809" t="s">
        <v>1919</v>
      </c>
      <c r="J809" s="7">
        <v>6.4989999999999997</v>
      </c>
      <c r="K809" s="8">
        <v>43767</v>
      </c>
      <c r="L809" s="8">
        <v>43783</v>
      </c>
      <c r="M809">
        <v>11</v>
      </c>
      <c r="N809" s="49" t="s">
        <v>71</v>
      </c>
      <c r="O809">
        <v>2019</v>
      </c>
      <c r="P809">
        <v>0.15029999999999999</v>
      </c>
      <c r="Q809" s="10">
        <v>0.05</v>
      </c>
      <c r="R809" s="11">
        <f>ROUND(Таб[[#This Row],[Зелений Тариф ЕЦ]]+Таб[[#This Row],[Зелений Тариф ЕЦ]]*Таб[[#This Row],[% надбавки]],4)</f>
        <v>0.1578</v>
      </c>
      <c r="S809" s="12">
        <v>44185</v>
      </c>
      <c r="T809"/>
      <c r="BD8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209.27348643323631</v>
      </c>
      <c r="BE8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360.85868041860095</v>
      </c>
      <c r="BF8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608.79559689668724</v>
      </c>
      <c r="BG8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865.32438671807381</v>
      </c>
      <c r="BH8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1065.3922945692029</v>
      </c>
      <c r="BI8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1104.66942985286</v>
      </c>
      <c r="BJ8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1122.4668817782672</v>
      </c>
      <c r="BK8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970.2679825540954</v>
      </c>
      <c r="BL8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681.21281507593039</v>
      </c>
      <c r="BM8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437.57183526949393</v>
      </c>
      <c r="BN8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202.52272880635775</v>
      </c>
      <c r="BO8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171.22376162719331</v>
      </c>
      <c r="BP809">
        <f>SUM(Таб[[#This Row],[1]:[12]])</f>
        <v>7799.5798799999993</v>
      </c>
    </row>
    <row r="810" spans="2:68" ht="25.5">
      <c r="B810" t="s">
        <v>384</v>
      </c>
      <c r="C810" t="str">
        <f>IFERROR(VLOOKUP(Таб[[#This Row],[Зелений Тариф ЕЦ]],Sheet6!$H$9:$I$29,2,FALSE),"")</f>
        <v>Земля</v>
      </c>
      <c r="G810" s="1" t="s">
        <v>2020</v>
      </c>
      <c r="H810" t="s">
        <v>198</v>
      </c>
      <c r="I810" t="s">
        <v>448</v>
      </c>
      <c r="J810" s="7">
        <v>0.96</v>
      </c>
      <c r="K810" s="8">
        <v>43749</v>
      </c>
      <c r="L810" s="8">
        <v>43783</v>
      </c>
      <c r="M810">
        <v>11</v>
      </c>
      <c r="N810" s="49" t="s">
        <v>71</v>
      </c>
      <c r="O810">
        <v>2019</v>
      </c>
      <c r="P810">
        <v>0.15029999999999999</v>
      </c>
      <c r="Q810" s="10"/>
      <c r="R810" s="11">
        <f>ROUND(Таб[[#This Row],[Зелений Тариф ЕЦ]]+Таб[[#This Row],[Зелений Тариф ЕЦ]]*Таб[[#This Row],[% надбавки]],4)</f>
        <v>0.15029999999999999</v>
      </c>
      <c r="S810" s="12"/>
      <c r="T810"/>
      <c r="BD8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30.91283997167362</v>
      </c>
      <c r="BE8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53.304251915965061</v>
      </c>
      <c r="BF8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89.928261735777781</v>
      </c>
      <c r="BG8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127.82142041073253</v>
      </c>
      <c r="BH8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157.37445803761113</v>
      </c>
      <c r="BI8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163.17628137540325</v>
      </c>
      <c r="BJ8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165.80523257534031</v>
      </c>
      <c r="BK8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143.32316714139586</v>
      </c>
      <c r="BL8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100.62537351483201</v>
      </c>
      <c r="BM8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64.635938122590289</v>
      </c>
      <c r="BN8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29.9156515854906</v>
      </c>
      <c r="BO8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25.292323613187506</v>
      </c>
      <c r="BP810">
        <f>SUM(Таб[[#This Row],[1]:[12]])</f>
        <v>1152.1152</v>
      </c>
    </row>
    <row r="811" spans="2:68" ht="38.25">
      <c r="B811" t="s">
        <v>384</v>
      </c>
      <c r="C811" t="str">
        <f>IFERROR(VLOOKUP(Таб[[#This Row],[Зелений Тариф ЕЦ]],Sheet6!$H$9:$I$29,2,FALSE),"")</f>
        <v>Земля</v>
      </c>
      <c r="G811" s="1" t="s">
        <v>2022</v>
      </c>
      <c r="H811" t="s">
        <v>101</v>
      </c>
      <c r="J811" s="7">
        <v>3.222</v>
      </c>
      <c r="K811" s="8">
        <v>43766</v>
      </c>
      <c r="L811" s="8">
        <v>43783</v>
      </c>
      <c r="M811">
        <v>11</v>
      </c>
      <c r="N811" s="49" t="s">
        <v>71</v>
      </c>
      <c r="O811">
        <v>2019</v>
      </c>
      <c r="P811">
        <v>0.15029999999999999</v>
      </c>
      <c r="Q811" s="10"/>
      <c r="R811" s="11">
        <f>ROUND(Таб[[#This Row],[Зелений Тариф ЕЦ]]+Таб[[#This Row],[Зелений Тариф ЕЦ]]*Таб[[#This Row],[% надбавки]],4)</f>
        <v>0.15029999999999999</v>
      </c>
      <c r="S811" s="12"/>
      <c r="T811"/>
      <c r="BD8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103.7512191549296</v>
      </c>
      <c r="BE8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178.90239549295774</v>
      </c>
      <c r="BF8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301.8217284507042</v>
      </c>
      <c r="BG8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429.00064225352111</v>
      </c>
      <c r="BH8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528.18802478873238</v>
      </c>
      <c r="BI8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547.66039436619724</v>
      </c>
      <c r="BJ8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556.48381183098581</v>
      </c>
      <c r="BK8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481.02837971830991</v>
      </c>
      <c r="BL8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337.72390985915496</v>
      </c>
      <c r="BM8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216.93436732394366</v>
      </c>
      <c r="BN8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100.40440563380284</v>
      </c>
      <c r="BO8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84.887361126760567</v>
      </c>
      <c r="BP811">
        <f>SUM(Таб[[#This Row],[1]:[12]])</f>
        <v>3866.7866399999998</v>
      </c>
    </row>
    <row r="812" spans="2:68" ht="25.5">
      <c r="B812" t="s">
        <v>384</v>
      </c>
      <c r="C812" t="str">
        <f>IFERROR(VLOOKUP(Таб[[#This Row],[Зелений Тариф ЕЦ]],Sheet6!$H$9:$I$29,2,FALSE),"")</f>
        <v>Земля</v>
      </c>
      <c r="G812" s="1" t="s">
        <v>2024</v>
      </c>
      <c r="H812" t="s">
        <v>122</v>
      </c>
      <c r="I812" t="s">
        <v>646</v>
      </c>
      <c r="J812" s="7">
        <v>6.1689999999999996</v>
      </c>
      <c r="K812" s="8">
        <v>43766</v>
      </c>
      <c r="L812" s="8">
        <v>43783</v>
      </c>
      <c r="M812">
        <v>11</v>
      </c>
      <c r="N812" s="49" t="s">
        <v>71</v>
      </c>
      <c r="O812">
        <v>2019</v>
      </c>
      <c r="P812">
        <v>0.15029999999999999</v>
      </c>
      <c r="Q812" s="10"/>
      <c r="R812" s="11">
        <f>ROUND(Таб[[#This Row],[Зелений Тариф ЕЦ]]+Таб[[#This Row],[Зелений Тариф ЕЦ]]*Таб[[#This Row],[% надбавки]],4)</f>
        <v>0.15029999999999999</v>
      </c>
      <c r="S812" s="12"/>
      <c r="T812"/>
      <c r="BD8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198.64719769297349</v>
      </c>
      <c r="BE8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342.53534382248796</v>
      </c>
      <c r="BF8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577.88275692501372</v>
      </c>
      <c r="BG8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821.38577345188446</v>
      </c>
      <c r="BH8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1011.294824618774</v>
      </c>
      <c r="BI8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1048.5775831300652</v>
      </c>
      <c r="BJ8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1065.4713330804941</v>
      </c>
      <c r="BK8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921.00064384924053</v>
      </c>
      <c r="BL8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646.62284293020696</v>
      </c>
      <c r="BM8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415.3532315398536</v>
      </c>
      <c r="BN8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192.23922357384532</v>
      </c>
      <c r="BO8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162.52952538516013</v>
      </c>
      <c r="BP812">
        <f>SUM(Таб[[#This Row],[1]:[12]])</f>
        <v>7403.5402799999993</v>
      </c>
    </row>
    <row r="813" spans="2:68" ht="38.25">
      <c r="B813" t="s">
        <v>384</v>
      </c>
      <c r="C813" t="str">
        <f>IFERROR(VLOOKUP(Таб[[#This Row],[Зелений Тариф ЕЦ]],Sheet6!$H$9:$I$29,2,FALSE),"")</f>
        <v>Земля</v>
      </c>
      <c r="G813" s="1" t="s">
        <v>2027</v>
      </c>
      <c r="H813" t="s">
        <v>185</v>
      </c>
      <c r="J813" s="7">
        <v>2.3679999999999999</v>
      </c>
      <c r="K813" s="8">
        <v>43690</v>
      </c>
      <c r="L813" s="8">
        <v>43783</v>
      </c>
      <c r="M813">
        <v>11</v>
      </c>
      <c r="N813" s="49" t="s">
        <v>71</v>
      </c>
      <c r="O813">
        <v>2019</v>
      </c>
      <c r="P813">
        <v>0.15029999999999999</v>
      </c>
      <c r="Q813" s="10"/>
      <c r="R813" s="11">
        <f>ROUND(Таб[[#This Row],[Зелений Тариф ЕЦ]]+Таб[[#This Row],[Зелений Тариф ЕЦ]]*Таб[[#This Row],[% надбавки]],4)</f>
        <v>0.15029999999999999</v>
      </c>
      <c r="S813" s="12"/>
      <c r="T813"/>
      <c r="BD8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76.251671930128254</v>
      </c>
      <c r="BE8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131.48382139271382</v>
      </c>
      <c r="BF8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221.82304561491853</v>
      </c>
      <c r="BG8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315.29283701314029</v>
      </c>
      <c r="BH8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388.19032982610753</v>
      </c>
      <c r="BI8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402.50149405932802</v>
      </c>
      <c r="BJ8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408.98624035250612</v>
      </c>
      <c r="BK8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353.53047894877648</v>
      </c>
      <c r="BL8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248.20925466991895</v>
      </c>
      <c r="BM8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159.43531403572271</v>
      </c>
      <c r="BN8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73.791940577543485</v>
      </c>
      <c r="BO8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62.387731579195844</v>
      </c>
      <c r="BP813">
        <f>SUM(Таб[[#This Row],[1]:[12]])</f>
        <v>2841.8841600000001</v>
      </c>
    </row>
    <row r="814" spans="2:68" ht="38.25">
      <c r="B814" t="s">
        <v>384</v>
      </c>
      <c r="C814" t="str">
        <f>IFERROR(VLOOKUP(Таб[[#This Row],[Зелений Тариф ЕЦ]],Sheet6!$H$9:$I$29,2,FALSE),"")</f>
        <v>Земля</v>
      </c>
      <c r="G814" s="1" t="s">
        <v>2029</v>
      </c>
      <c r="H814" t="s">
        <v>107</v>
      </c>
      <c r="I814" t="s">
        <v>2031</v>
      </c>
      <c r="J814" s="7">
        <v>4.7830000000000004</v>
      </c>
      <c r="K814" s="8">
        <v>43731</v>
      </c>
      <c r="L814" s="8">
        <v>43783</v>
      </c>
      <c r="M814">
        <v>11</v>
      </c>
      <c r="N814" s="49" t="s">
        <v>71</v>
      </c>
      <c r="O814">
        <v>2019</v>
      </c>
      <c r="P814">
        <v>0.15029999999999999</v>
      </c>
      <c r="Q814" s="10"/>
      <c r="R814" s="11">
        <f>ROUND(Таб[[#This Row],[Зелений Тариф ЕЦ]]+Таб[[#This Row],[Зелений Тариф ЕЦ]]*Таб[[#This Row],[% надбавки]],4)</f>
        <v>0.15029999999999999</v>
      </c>
      <c r="S814" s="12"/>
      <c r="T814"/>
      <c r="BD8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154.01678498386971</v>
      </c>
      <c r="BE8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265.57733011881351</v>
      </c>
      <c r="BF8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448.0488290439846</v>
      </c>
      <c r="BG8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636.84359773388951</v>
      </c>
      <c r="BH8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784.08545082697287</v>
      </c>
      <c r="BI8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812.991826894327</v>
      </c>
      <c r="BJ8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826.09002854984669</v>
      </c>
      <c r="BK8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714.07782128885049</v>
      </c>
      <c r="BL8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501.34495991816829</v>
      </c>
      <c r="BM8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322.03509587536394</v>
      </c>
      <c r="BN8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149.0485015972933</v>
      </c>
      <c r="BO8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126.01373316862066</v>
      </c>
      <c r="BP814">
        <f>SUM(Таб[[#This Row],[1]:[12]])</f>
        <v>5740.1739600000019</v>
      </c>
    </row>
    <row r="815" spans="2:68" ht="63.75">
      <c r="B815" t="s">
        <v>384</v>
      </c>
      <c r="C815" t="str">
        <f>IFERROR(VLOOKUP(Таб[[#This Row],[Зелений Тариф ЕЦ]],Sheet6!$H$9:$I$29,2,FALSE),"")</f>
        <v>Земля</v>
      </c>
      <c r="G815" s="1" t="s">
        <v>2033</v>
      </c>
      <c r="H815" t="s">
        <v>65</v>
      </c>
      <c r="J815" s="7">
        <v>2.4950000000000001</v>
      </c>
      <c r="K815" s="8">
        <v>43745</v>
      </c>
      <c r="L815" s="8">
        <v>43783</v>
      </c>
      <c r="M815">
        <v>11</v>
      </c>
      <c r="N815" s="49" t="s">
        <v>71</v>
      </c>
      <c r="O815">
        <v>2019</v>
      </c>
      <c r="P815">
        <v>0.15029999999999999</v>
      </c>
      <c r="Q815" s="10"/>
      <c r="R815" s="11">
        <f>ROUND(Таб[[#This Row],[Зелений Тариф ЕЦ]]+Таб[[#This Row],[Зелений Тариф ЕЦ]]*Таб[[#This Row],[% надбавки]],4)</f>
        <v>0.15029999999999999</v>
      </c>
      <c r="S815" s="12"/>
      <c r="T815"/>
      <c r="BD8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80.341183051380909</v>
      </c>
      <c r="BE8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138.53552971909673</v>
      </c>
      <c r="BF8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233.71980524038082</v>
      </c>
      <c r="BG8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332.20254575497682</v>
      </c>
      <c r="BH8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409.00965917066645</v>
      </c>
      <c r="BI8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424.08835628294912</v>
      </c>
      <c r="BJ8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430.92089091195214</v>
      </c>
      <c r="BK8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372.49093960185695</v>
      </c>
      <c r="BL8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261.52115304115193</v>
      </c>
      <c r="BM8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167.98611001652372</v>
      </c>
      <c r="BN8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77.749531985207341</v>
      </c>
      <c r="BO8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65.733695223857112</v>
      </c>
      <c r="BP815">
        <f>SUM(Таб[[#This Row],[1]:[12]])</f>
        <v>2994.2993999999999</v>
      </c>
    </row>
    <row r="816" spans="2:68" ht="63.75">
      <c r="B816" t="s">
        <v>384</v>
      </c>
      <c r="C816" t="str">
        <f>IFERROR(VLOOKUP(Таб[[#This Row],[Зелений Тариф ЕЦ]],Sheet6!$H$9:$I$29,2,FALSE),"")</f>
        <v>Земля</v>
      </c>
      <c r="G816" s="1" t="s">
        <v>2035</v>
      </c>
      <c r="H816" t="s">
        <v>65</v>
      </c>
      <c r="J816" s="7">
        <v>0.876</v>
      </c>
      <c r="K816" s="8">
        <v>43748</v>
      </c>
      <c r="L816" s="8">
        <v>43783</v>
      </c>
      <c r="M816">
        <v>11</v>
      </c>
      <c r="N816" s="49" t="s">
        <v>71</v>
      </c>
      <c r="O816">
        <v>2019</v>
      </c>
      <c r="P816">
        <v>0.15029999999999999</v>
      </c>
      <c r="Q816" s="10"/>
      <c r="R816" s="11">
        <f>ROUND(Таб[[#This Row],[Зелений Тариф ЕЦ]]+Таб[[#This Row],[Зелений Тариф ЕЦ]]*Таб[[#This Row],[% надбавки]],4)</f>
        <v>0.15029999999999999</v>
      </c>
      <c r="S816" s="12"/>
      <c r="T816"/>
      <c r="BD8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28.20796647415218</v>
      </c>
      <c r="BE8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48.640129873318116</v>
      </c>
      <c r="BF8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82.059538833897236</v>
      </c>
      <c r="BG8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116.63704612479344</v>
      </c>
      <c r="BH8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143.60419295932016</v>
      </c>
      <c r="BI8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148.89835675505549</v>
      </c>
      <c r="BJ8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151.29727472499803</v>
      </c>
      <c r="BK8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130.78239001652372</v>
      </c>
      <c r="BL8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91.820653332284223</v>
      </c>
      <c r="BM8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58.980293536863641</v>
      </c>
      <c r="BN8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27.298032071760176</v>
      </c>
      <c r="BO8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23.079245297033598</v>
      </c>
      <c r="BP816">
        <f>SUM(Таб[[#This Row],[1]:[12]])</f>
        <v>1051.30512</v>
      </c>
    </row>
    <row r="817" spans="2:68" ht="51">
      <c r="B817" t="s">
        <v>384</v>
      </c>
      <c r="C817" t="str">
        <f>IFERROR(VLOOKUP(Таб[[#This Row],[Зелений Тариф ЕЦ]],Sheet6!$H$9:$I$29,2,FALSE),"")</f>
        <v>Земля</v>
      </c>
      <c r="G817" s="1" t="s">
        <v>2037</v>
      </c>
      <c r="H817" t="s">
        <v>65</v>
      </c>
      <c r="J817" s="7">
        <v>1.198</v>
      </c>
      <c r="K817" s="8">
        <v>43755</v>
      </c>
      <c r="L817" s="8">
        <v>43783</v>
      </c>
      <c r="M817">
        <v>11</v>
      </c>
      <c r="N817" s="49" t="s">
        <v>71</v>
      </c>
      <c r="O817">
        <v>2019</v>
      </c>
      <c r="P817">
        <v>0.15029999999999999</v>
      </c>
      <c r="Q817" s="10"/>
      <c r="R817" s="11">
        <f>ROUND(Таб[[#This Row],[Зелений Тариф ЕЦ]]+Таб[[#This Row],[Зелений Тариф ЕЦ]]*Таб[[#This Row],[% надбавки]],4)</f>
        <v>0.15029999999999999</v>
      </c>
      <c r="S817" s="12"/>
      <c r="T817"/>
      <c r="BD8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38.576648214651037</v>
      </c>
      <c r="BE8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66.519264370131395</v>
      </c>
      <c r="BF8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112.22297662443937</v>
      </c>
      <c r="BG8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159.51048088755999</v>
      </c>
      <c r="BH8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196.39020909276888</v>
      </c>
      <c r="BI8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203.6304011330553</v>
      </c>
      <c r="BJ8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206.91111315131008</v>
      </c>
      <c r="BK8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178.85536899520025</v>
      </c>
      <c r="BL8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125.57208069871746</v>
      </c>
      <c r="BM8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80.660264448815795</v>
      </c>
      <c r="BN8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37.332240207726812</v>
      </c>
      <c r="BO8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31.562712175623574</v>
      </c>
      <c r="BP817">
        <f>SUM(Таб[[#This Row],[1]:[12]])</f>
        <v>1437.7437599999998</v>
      </c>
    </row>
    <row r="818" spans="2:68" ht="38.25">
      <c r="B818" t="s">
        <v>384</v>
      </c>
      <c r="C818" t="str">
        <f>IFERROR(VLOOKUP(Таб[[#This Row],[Зелений Тариф ЕЦ]],Sheet6!$H$9:$I$29,2,FALSE),"")</f>
        <v>Земля</v>
      </c>
      <c r="G818" s="1" t="s">
        <v>2039</v>
      </c>
      <c r="H818" t="s">
        <v>107</v>
      </c>
      <c r="J818" s="7">
        <v>1.153</v>
      </c>
      <c r="K818" s="8">
        <v>43691</v>
      </c>
      <c r="L818" s="8">
        <v>43783</v>
      </c>
      <c r="M818">
        <v>11</v>
      </c>
      <c r="N818" s="49" t="s">
        <v>71</v>
      </c>
      <c r="O818">
        <v>2019</v>
      </c>
      <c r="P818">
        <v>0.15029999999999999</v>
      </c>
      <c r="Q818" s="10"/>
      <c r="R818" s="11">
        <f>ROUND(Таб[[#This Row],[Зелений Тариф ЕЦ]]+Таб[[#This Row],[Зелений Тариф ЕЦ]]*Таб[[#This Row],[% надбавки]],4)</f>
        <v>0.15029999999999999</v>
      </c>
      <c r="S818" s="12"/>
      <c r="T818"/>
      <c r="BD8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37.127608840978837</v>
      </c>
      <c r="BE8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64.020627561570535</v>
      </c>
      <c r="BF8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108.00758935557479</v>
      </c>
      <c r="BG8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153.51885180580689</v>
      </c>
      <c r="BH8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189.0132813722559</v>
      </c>
      <c r="BI8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195.98151294358331</v>
      </c>
      <c r="BJ8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199.13899287434106</v>
      </c>
      <c r="BK8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172.13709553544732</v>
      </c>
      <c r="BL8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120.8552663152097</v>
      </c>
      <c r="BM8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77.630454849319378</v>
      </c>
      <c r="BN8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35.929944039656945</v>
      </c>
      <c r="BO8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30.377134506255416</v>
      </c>
      <c r="BP818">
        <f>SUM(Таб[[#This Row],[1]:[12]])</f>
        <v>1383.7383600000003</v>
      </c>
    </row>
    <row r="819" spans="2:68" ht="25.5">
      <c r="B819" t="s">
        <v>384</v>
      </c>
      <c r="C819" t="str">
        <f>IFERROR(VLOOKUP(Таб[[#This Row],[Зелений Тариф ЕЦ]],Sheet6!$H$9:$I$29,2,FALSE),"")</f>
        <v>Дах</v>
      </c>
      <c r="G819" s="1" t="s">
        <v>2041</v>
      </c>
      <c r="H819" t="s">
        <v>65</v>
      </c>
      <c r="J819" s="7">
        <v>0.6</v>
      </c>
      <c r="K819" s="8">
        <v>43755</v>
      </c>
      <c r="L819" s="8">
        <v>43783</v>
      </c>
      <c r="M819">
        <v>11</v>
      </c>
      <c r="N819" s="49" t="s">
        <v>71</v>
      </c>
      <c r="O819">
        <v>2019</v>
      </c>
      <c r="P819">
        <v>0.16370000000000001</v>
      </c>
      <c r="Q819" s="10"/>
      <c r="R819" s="11">
        <f>ROUND(Таб[[#This Row],[Зелений Тариф ЕЦ]]+Таб[[#This Row],[Зелений Тариф ЕЦ]]*Таб[[#This Row],[% надбавки]],4)</f>
        <v>0.16370000000000001</v>
      </c>
      <c r="S819" s="12"/>
      <c r="T819"/>
      <c r="BD8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19.320524982296014</v>
      </c>
      <c r="BE8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33.315157447478164</v>
      </c>
      <c r="BF8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56.205163584861126</v>
      </c>
      <c r="BG8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79.888387756707843</v>
      </c>
      <c r="BH8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98.359036273506945</v>
      </c>
      <c r="BI8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101.98517585962703</v>
      </c>
      <c r="BJ8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103.6282703595877</v>
      </c>
      <c r="BK8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89.576979463372425</v>
      </c>
      <c r="BL8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62.890858446770011</v>
      </c>
      <c r="BM8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40.397461326618931</v>
      </c>
      <c r="BN8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18.697282240931624</v>
      </c>
      <c r="BO8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15.807702258242191</v>
      </c>
      <c r="BP819">
        <f>SUM(Таб[[#This Row],[1]:[12]])</f>
        <v>720.072</v>
      </c>
    </row>
    <row r="820" spans="2:68" ht="38.25">
      <c r="B820" t="s">
        <v>384</v>
      </c>
      <c r="C820" t="str">
        <f>IFERROR(VLOOKUP(Таб[[#This Row],[Зелений Тариф ЕЦ]],Sheet6!$H$9:$I$29,2,FALSE),"")</f>
        <v>Дах</v>
      </c>
      <c r="G820" s="1" t="s">
        <v>2043</v>
      </c>
      <c r="H820" t="s">
        <v>69</v>
      </c>
      <c r="J820" s="7">
        <v>0.127</v>
      </c>
      <c r="K820" s="8">
        <v>43627</v>
      </c>
      <c r="L820" s="8">
        <v>43783</v>
      </c>
      <c r="M820">
        <v>11</v>
      </c>
      <c r="N820" s="49" t="s">
        <v>71</v>
      </c>
      <c r="O820">
        <v>2019</v>
      </c>
      <c r="P820">
        <v>0.16370000000000001</v>
      </c>
      <c r="Q820" s="10"/>
      <c r="R820" s="11">
        <f>ROUND(Таб[[#This Row],[Зелений Тариф ЕЦ]]+Таб[[#This Row],[Зелений Тариф ЕЦ]]*Таб[[#This Row],[% надбавки]],4)</f>
        <v>0.16370000000000001</v>
      </c>
      <c r="S820" s="12"/>
      <c r="T820"/>
      <c r="BD8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4.0895111212526558</v>
      </c>
      <c r="BE8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7.0517083263828786</v>
      </c>
      <c r="BF8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11.896759625462272</v>
      </c>
      <c r="BG8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16.909708741836496</v>
      </c>
      <c r="BH8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20.819329344558973</v>
      </c>
      <c r="BI8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21.586862223621054</v>
      </c>
      <c r="BJ8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21.934650559446062</v>
      </c>
      <c r="BK8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18.960460653080496</v>
      </c>
      <c r="BL8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13.311898371232985</v>
      </c>
      <c r="BM8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8.5507959808010057</v>
      </c>
      <c r="BN8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3.9575914076638607</v>
      </c>
      <c r="BO8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3.3459636446612637</v>
      </c>
      <c r="BP820">
        <f>SUM(Таб[[#This Row],[1]:[12]])</f>
        <v>152.41524000000001</v>
      </c>
    </row>
    <row r="821" spans="2:68" ht="51">
      <c r="B821" t="s">
        <v>384</v>
      </c>
      <c r="C821" t="str">
        <f>IFERROR(VLOOKUP(Таб[[#This Row],[Зелений Тариф ЕЦ]],Sheet6!$H$9:$I$29,2,FALSE),"")</f>
        <v>Дах</v>
      </c>
      <c r="G821" s="1" t="s">
        <v>2045</v>
      </c>
      <c r="H821" t="s">
        <v>69</v>
      </c>
      <c r="J821" s="7">
        <v>0.995</v>
      </c>
      <c r="K821" s="8">
        <v>43748</v>
      </c>
      <c r="L821" s="8">
        <v>43783</v>
      </c>
      <c r="M821">
        <v>11</v>
      </c>
      <c r="N821" s="49" t="s">
        <v>71</v>
      </c>
      <c r="O821">
        <v>2019</v>
      </c>
      <c r="P821">
        <v>0.16370000000000001</v>
      </c>
      <c r="Q821" s="10"/>
      <c r="R821" s="11">
        <f>ROUND(Таб[[#This Row],[Зелений Тариф ЕЦ]]+Таб[[#This Row],[Зелений Тариф ЕЦ]]*Таб[[#This Row],[% надбавки]],4)</f>
        <v>0.16370000000000001</v>
      </c>
      <c r="S821" s="12"/>
      <c r="T821"/>
      <c r="BD8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32.039870595640892</v>
      </c>
      <c r="BE8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55.247636100401294</v>
      </c>
      <c r="BF8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93.206896278228029</v>
      </c>
      <c r="BG8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132.48157636320718</v>
      </c>
      <c r="BH8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163.11206848689903</v>
      </c>
      <c r="BI8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169.12541663388151</v>
      </c>
      <c r="BJ8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171.85021501298291</v>
      </c>
      <c r="BK8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148.54849094342592</v>
      </c>
      <c r="BL8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104.29400692422692</v>
      </c>
      <c r="BM8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66.992456699976401</v>
      </c>
      <c r="BN8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31.006326382878278</v>
      </c>
      <c r="BO8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26.214439578251636</v>
      </c>
      <c r="BP821">
        <f>SUM(Таб[[#This Row],[1]:[12]])</f>
        <v>1194.1194</v>
      </c>
    </row>
    <row r="822" spans="2:68" ht="63.75">
      <c r="B822" t="s">
        <v>384</v>
      </c>
      <c r="C822" t="str">
        <f>IFERROR(VLOOKUP(Таб[[#This Row],[Зелений Тариф ЕЦ]],Sheet6!$H$9:$I$29,2,FALSE),"")</f>
        <v>Дах</v>
      </c>
      <c r="G822" s="1" t="s">
        <v>2047</v>
      </c>
      <c r="H822" t="s">
        <v>98</v>
      </c>
      <c r="J822" s="7">
        <v>0.22</v>
      </c>
      <c r="K822" s="8">
        <v>43745</v>
      </c>
      <c r="L822" s="8">
        <v>43783</v>
      </c>
      <c r="M822">
        <v>11</v>
      </c>
      <c r="N822" s="49" t="s">
        <v>71</v>
      </c>
      <c r="O822">
        <v>2019</v>
      </c>
      <c r="P822">
        <v>0.16370000000000001</v>
      </c>
      <c r="Q822" s="10"/>
      <c r="R822" s="11">
        <f>ROUND(Таб[[#This Row],[Зелений Тариф ЕЦ]]+Таб[[#This Row],[Зелений Тариф ЕЦ]]*Таб[[#This Row],[% надбавки]],4)</f>
        <v>0.16370000000000001</v>
      </c>
      <c r="S822" s="12"/>
      <c r="T822"/>
      <c r="BD8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7.084192493508537</v>
      </c>
      <c r="BE8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12.215557730741995</v>
      </c>
      <c r="BF8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20.608559981115746</v>
      </c>
      <c r="BG8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29.292408844126211</v>
      </c>
      <c r="BH8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36.064979966952556</v>
      </c>
      <c r="BI8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37.394564481863249</v>
      </c>
      <c r="BJ8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37.997032465182151</v>
      </c>
      <c r="BK8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32.844892469903215</v>
      </c>
      <c r="BL8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23.059981430482338</v>
      </c>
      <c r="BM8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14.81240248642694</v>
      </c>
      <c r="BN8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6.8556701550082622</v>
      </c>
      <c r="BO8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5.7961574946888037</v>
      </c>
      <c r="BP822">
        <f>SUM(Таб[[#This Row],[1]:[12]])</f>
        <v>264.02640000000002</v>
      </c>
    </row>
    <row r="823" spans="2:68" ht="51">
      <c r="B823" t="s">
        <v>384</v>
      </c>
      <c r="C823" t="str">
        <f>IFERROR(VLOOKUP(Таб[[#This Row],[Зелений Тариф ЕЦ]],Sheet6!$H$9:$I$29,2,FALSE),"")</f>
        <v>Дах</v>
      </c>
      <c r="G823" s="1" t="s">
        <v>2049</v>
      </c>
      <c r="H823" t="s">
        <v>107</v>
      </c>
      <c r="J823" s="7">
        <v>0.33600000000000002</v>
      </c>
      <c r="K823" s="8">
        <v>43678</v>
      </c>
      <c r="L823" s="8">
        <v>43783</v>
      </c>
      <c r="M823">
        <v>11</v>
      </c>
      <c r="N823" s="49" t="s">
        <v>71</v>
      </c>
      <c r="O823">
        <v>2019</v>
      </c>
      <c r="P823">
        <v>0.16370000000000001</v>
      </c>
      <c r="Q823" s="10"/>
      <c r="R823" s="11">
        <f>ROUND(Таб[[#This Row],[Зелений Тариф ЕЦ]]+Таб[[#This Row],[Зелений Тариф ЕЦ]]*Таб[[#This Row],[% надбавки]],4)</f>
        <v>0.16370000000000001</v>
      </c>
      <c r="S823" s="12"/>
      <c r="T823"/>
      <c r="BD8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10.819493990085768</v>
      </c>
      <c r="BE8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18.656488170587775</v>
      </c>
      <c r="BF8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31.474891607522231</v>
      </c>
      <c r="BG8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44.7374971437564</v>
      </c>
      <c r="BH8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55.081060313163903</v>
      </c>
      <c r="BI8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57.111698481391144</v>
      </c>
      <c r="BJ8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58.031831401369104</v>
      </c>
      <c r="BK8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50.163108499488558</v>
      </c>
      <c r="BL8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35.218880730191209</v>
      </c>
      <c r="BM8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22.6225783429066</v>
      </c>
      <c r="BN8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10.47047805492171</v>
      </c>
      <c r="BO8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8.8523132646156277</v>
      </c>
      <c r="BP823">
        <f>SUM(Таб[[#This Row],[1]:[12]])</f>
        <v>403.24032000000005</v>
      </c>
    </row>
    <row r="824" spans="2:68" ht="38.25">
      <c r="B824" t="s">
        <v>384</v>
      </c>
      <c r="C824" t="str">
        <f>IFERROR(VLOOKUP(Таб[[#This Row],[Зелений Тариф ЕЦ]],Sheet6!$H$9:$I$29,2,FALSE),"")</f>
        <v>Земля</v>
      </c>
      <c r="G824" s="1" t="s">
        <v>2051</v>
      </c>
      <c r="H824" t="s">
        <v>122</v>
      </c>
      <c r="I824" t="s">
        <v>330</v>
      </c>
      <c r="J824" s="7">
        <v>6.8739999999999997</v>
      </c>
      <c r="K824" s="8">
        <v>43754</v>
      </c>
      <c r="L824" s="8">
        <v>43783</v>
      </c>
      <c r="M824">
        <v>11</v>
      </c>
      <c r="N824" s="49" t="s">
        <v>71</v>
      </c>
      <c r="O824">
        <v>2019</v>
      </c>
      <c r="P824">
        <v>0.15029999999999999</v>
      </c>
      <c r="Q824" s="10"/>
      <c r="R824" s="11">
        <f>ROUND(Таб[[#This Row],[Зелений Тариф ЕЦ]]+Таб[[#This Row],[Зелений Тариф ЕЦ]]*Таб[[#This Row],[% надбавки]],4)</f>
        <v>0.15029999999999999</v>
      </c>
      <c r="S824" s="12"/>
      <c r="T824"/>
      <c r="BD8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221.34881454717132</v>
      </c>
      <c r="BE8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381.68065382327478</v>
      </c>
      <c r="BF8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643.92382413722544</v>
      </c>
      <c r="BG8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915.25462906601604</v>
      </c>
      <c r="BH8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1126.8666922401449</v>
      </c>
      <c r="BI8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1168.4101647651271</v>
      </c>
      <c r="BJ8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1187.2345507530097</v>
      </c>
      <c r="BK8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1026.2535947187032</v>
      </c>
      <c r="BL8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720.51960160516182</v>
      </c>
      <c r="BM8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462.82024859863088</v>
      </c>
      <c r="BN8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214.20853020694</v>
      </c>
      <c r="BO8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181.1035755385947</v>
      </c>
      <c r="BP824">
        <f>SUM(Таб[[#This Row],[1]:[12]])</f>
        <v>8249.6248800000012</v>
      </c>
    </row>
    <row r="825" spans="2:68" ht="25.5">
      <c r="B825" t="s">
        <v>384</v>
      </c>
      <c r="C825" t="str">
        <f>IFERROR(VLOOKUP(Таб[[#This Row],[Зелений Тариф ЕЦ]],Sheet6!$H$9:$I$29,2,FALSE),"")</f>
        <v>Дах</v>
      </c>
      <c r="G825" s="1" t="s">
        <v>2054</v>
      </c>
      <c r="H825" t="s">
        <v>65</v>
      </c>
      <c r="J825" s="7">
        <v>0.504</v>
      </c>
      <c r="K825" s="8">
        <v>43769</v>
      </c>
      <c r="L825" s="8">
        <v>43783</v>
      </c>
      <c r="M825">
        <v>11</v>
      </c>
      <c r="N825" s="49" t="s">
        <v>71</v>
      </c>
      <c r="O825">
        <v>2019</v>
      </c>
      <c r="P825">
        <v>0.16370000000000001</v>
      </c>
      <c r="Q825" s="10"/>
      <c r="R825" s="11">
        <f>ROUND(Таб[[#This Row],[Зелений Тариф ЕЦ]]+Таб[[#This Row],[Зелений Тариф ЕЦ]]*Таб[[#This Row],[% надбавки]],4)</f>
        <v>0.16370000000000001</v>
      </c>
      <c r="S825" s="12"/>
      <c r="T825"/>
      <c r="BD8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16.229240985128651</v>
      </c>
      <c r="BE8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27.98473225588166</v>
      </c>
      <c r="BF8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47.212337411283336</v>
      </c>
      <c r="BG8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67.106245715634586</v>
      </c>
      <c r="BH8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82.621590469745854</v>
      </c>
      <c r="BI8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85.667547722086709</v>
      </c>
      <c r="BJ8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87.047747102053648</v>
      </c>
      <c r="BK8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75.24466274923283</v>
      </c>
      <c r="BL8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52.82832109528681</v>
      </c>
      <c r="BM8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33.933867514359903</v>
      </c>
      <c r="BN8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15.705717082382566</v>
      </c>
      <c r="BO8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13.27846989692344</v>
      </c>
      <c r="BP825">
        <f>SUM(Таб[[#This Row],[1]:[12]])</f>
        <v>604.86047999999994</v>
      </c>
    </row>
    <row r="826" spans="2:68" ht="38.25">
      <c r="B826" t="s">
        <v>384</v>
      </c>
      <c r="C826" t="str">
        <f>IFERROR(VLOOKUP(Таб[[#This Row],[Зелений Тариф ЕЦ]],Sheet6!$H$9:$I$29,2,FALSE),"")</f>
        <v>Дах</v>
      </c>
      <c r="G826" s="1" t="s">
        <v>1681</v>
      </c>
      <c r="H826" t="s">
        <v>233</v>
      </c>
      <c r="J826" s="7">
        <v>0.124</v>
      </c>
      <c r="K826" s="8">
        <v>43747</v>
      </c>
      <c r="L826" s="8">
        <v>43783</v>
      </c>
      <c r="M826">
        <v>11</v>
      </c>
      <c r="N826" s="49" t="s">
        <v>71</v>
      </c>
      <c r="O826">
        <v>2019</v>
      </c>
      <c r="P826">
        <v>0.16370000000000001</v>
      </c>
      <c r="Q826" s="10"/>
      <c r="R826" s="11">
        <f>ROUND(Таб[[#This Row],[Зелений Тариф ЕЦ]]+Таб[[#This Row],[Зелений Тариф ЕЦ]]*Таб[[#This Row],[% надбавки]],4)</f>
        <v>0.16370000000000001</v>
      </c>
      <c r="S826" s="12"/>
      <c r="T826"/>
      <c r="BD8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3.9929084963411761</v>
      </c>
      <c r="BE8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6.8851325391454878</v>
      </c>
      <c r="BF8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11.615733807537964</v>
      </c>
      <c r="BG8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16.510266803052957</v>
      </c>
      <c r="BH8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20.327534163191437</v>
      </c>
      <c r="BI8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21.076936344322924</v>
      </c>
      <c r="BJ8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21.416509207648126</v>
      </c>
      <c r="BK8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18.512575755763635</v>
      </c>
      <c r="BL8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12.997444078999134</v>
      </c>
      <c r="BM8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8.3488086741679126</v>
      </c>
      <c r="BN8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3.8641049964592025</v>
      </c>
      <c r="BO8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3.2669251333700533</v>
      </c>
      <c r="BP826">
        <f>SUM(Таб[[#This Row],[1]:[12]])</f>
        <v>148.81487999999999</v>
      </c>
    </row>
    <row r="827" spans="2:68" ht="38.25">
      <c r="B827" t="s">
        <v>384</v>
      </c>
      <c r="C827" t="str">
        <f>IFERROR(VLOOKUP(Таб[[#This Row],[Зелений Тариф ЕЦ]],Sheet6!$H$9:$I$29,2,FALSE),"")</f>
        <v>Дах</v>
      </c>
      <c r="G827" s="1" t="s">
        <v>2058</v>
      </c>
      <c r="H827" t="s">
        <v>69</v>
      </c>
      <c r="J827" s="7">
        <v>0.22800000000000001</v>
      </c>
      <c r="K827" s="8">
        <v>43748</v>
      </c>
      <c r="L827" s="8">
        <v>43783</v>
      </c>
      <c r="M827">
        <v>11</v>
      </c>
      <c r="N827" s="49" t="s">
        <v>71</v>
      </c>
      <c r="O827">
        <v>2019</v>
      </c>
      <c r="P827">
        <v>0.16370000000000001</v>
      </c>
      <c r="Q827" s="10"/>
      <c r="R827" s="11">
        <f>ROUND(Таб[[#This Row],[Зелений Тариф ЕЦ]]+Таб[[#This Row],[Зелений Тариф ЕЦ]]*Таб[[#This Row],[% надбавки]],4)</f>
        <v>0.16370000000000001</v>
      </c>
      <c r="S827" s="12"/>
      <c r="T827"/>
      <c r="BD8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7.3417994932724859</v>
      </c>
      <c r="BE8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12.659759830041702</v>
      </c>
      <c r="BF8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21.357962162247226</v>
      </c>
      <c r="BG8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30.357587347548979</v>
      </c>
      <c r="BH8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37.37643378393264</v>
      </c>
      <c r="BI8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38.754366826658277</v>
      </c>
      <c r="BJ8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39.378742736643332</v>
      </c>
      <c r="BK8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34.03925219608152</v>
      </c>
      <c r="BL8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23.898526209772605</v>
      </c>
      <c r="BM8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15.351035304115193</v>
      </c>
      <c r="BN8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7.1049672515540179</v>
      </c>
      <c r="BO8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6.006926858132033</v>
      </c>
      <c r="BP827">
        <f>SUM(Таб[[#This Row],[1]:[12]])</f>
        <v>273.62735999999995</v>
      </c>
    </row>
    <row r="828" spans="2:68" ht="38.25">
      <c r="B828" t="s">
        <v>384</v>
      </c>
      <c r="C828" t="str">
        <f>IFERROR(VLOOKUP(Таб[[#This Row],[Зелений Тариф ЕЦ]],Sheet6!$H$9:$I$29,2,FALSE),"")</f>
        <v>Земля</v>
      </c>
      <c r="D828" t="s">
        <v>3419</v>
      </c>
      <c r="F828" t="s">
        <v>3287</v>
      </c>
      <c r="G828" s="1" t="s">
        <v>2060</v>
      </c>
      <c r="H828" t="s">
        <v>65</v>
      </c>
      <c r="J828" s="29">
        <v>12.11</v>
      </c>
      <c r="K828" s="8">
        <v>43762</v>
      </c>
      <c r="L828" s="8">
        <v>43788</v>
      </c>
      <c r="M828">
        <v>11</v>
      </c>
      <c r="N828" s="49" t="s">
        <v>71</v>
      </c>
      <c r="O828">
        <v>2019</v>
      </c>
      <c r="P828">
        <v>0.15029999999999999</v>
      </c>
      <c r="Q828" s="10"/>
      <c r="R828" s="11">
        <f>ROUND(Таб[[#This Row],[Зелений Тариф ЕЦ]]+Таб[[#This Row],[Зелений Тариф ЕЦ]]*Таб[[#This Row],[% надбавки]],4)</f>
        <v>0.15029999999999999</v>
      </c>
      <c r="S828" s="12"/>
      <c r="T828"/>
      <c r="BD8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389.95259589267454</v>
      </c>
      <c r="BE8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672.41092781493421</v>
      </c>
      <c r="BF8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1134.4075516877801</v>
      </c>
      <c r="BG8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1612.4139595562199</v>
      </c>
      <c r="BH8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1985.2132154536157</v>
      </c>
      <c r="BI8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2058.4007994334725</v>
      </c>
      <c r="BJ8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2091.5639234243449</v>
      </c>
      <c r="BK8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1807.9620355023999</v>
      </c>
      <c r="BL8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1269.3471596506413</v>
      </c>
      <c r="BM8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815.35542777559203</v>
      </c>
      <c r="BN8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377.37347989613664</v>
      </c>
      <c r="BO8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319.05212391218822</v>
      </c>
      <c r="BP828">
        <f>SUM(Таб[[#This Row],[1]:[12]])</f>
        <v>14533.453199999998</v>
      </c>
    </row>
    <row r="829" spans="2:68" ht="38.25">
      <c r="B829" t="s">
        <v>384</v>
      </c>
      <c r="C829" t="str">
        <f>IFERROR(VLOOKUP(Таб[[#This Row],[Зелений Тариф ЕЦ]],Sheet6!$H$9:$I$29,2,FALSE),"")</f>
        <v>Земля</v>
      </c>
      <c r="E829" t="s">
        <v>3420</v>
      </c>
      <c r="F829" t="s">
        <v>3421</v>
      </c>
      <c r="G829" s="1" t="s">
        <v>2062</v>
      </c>
      <c r="H829" t="s">
        <v>65</v>
      </c>
      <c r="J829" s="29">
        <v>13.243</v>
      </c>
      <c r="K829" s="8">
        <v>43742</v>
      </c>
      <c r="L829" s="8">
        <v>43788</v>
      </c>
      <c r="M829">
        <v>11</v>
      </c>
      <c r="N829" s="49" t="s">
        <v>71</v>
      </c>
      <c r="O829">
        <v>2019</v>
      </c>
      <c r="P829">
        <v>0.15029999999999999</v>
      </c>
      <c r="Q829" s="10"/>
      <c r="R829" s="11">
        <f>ROUND(Таб[[#This Row],[Зелений Тариф ЕЦ]]+Таб[[#This Row],[Зелений Тариф ЕЦ]]*Таб[[#This Row],[% надбавки]],4)</f>
        <v>0.15029999999999999</v>
      </c>
      <c r="S829" s="12"/>
      <c r="T829"/>
      <c r="BD8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426.43618723424345</v>
      </c>
      <c r="BE8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735.32105012825559</v>
      </c>
      <c r="BF8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1240.5416355905263</v>
      </c>
      <c r="BG8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1763.2698651034698</v>
      </c>
      <c r="BH8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2170.9478622834213</v>
      </c>
      <c r="BI8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2250.9828065150682</v>
      </c>
      <c r="BJ8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2287.2486406200328</v>
      </c>
      <c r="BK8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1977.1132317224015</v>
      </c>
      <c r="BL8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1388.1060640176256</v>
      </c>
      <c r="BM8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891.63930058069081</v>
      </c>
      <c r="BN8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412.68018119442922</v>
      </c>
      <c r="BO8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348.90233500983555</v>
      </c>
      <c r="BP829">
        <f>SUM(Таб[[#This Row],[1]:[12]])</f>
        <v>15893.189160000002</v>
      </c>
    </row>
    <row r="830" spans="2:68" ht="63.75">
      <c r="B830" t="s">
        <v>384</v>
      </c>
      <c r="C830" t="str">
        <f>IFERROR(VLOOKUP(Таб[[#This Row],[Зелений Тариф ЕЦ]],Sheet6!$H$9:$I$29,2,FALSE),"")</f>
        <v>Земля</v>
      </c>
      <c r="D830" t="s">
        <v>3422</v>
      </c>
      <c r="F830" t="s">
        <v>3287</v>
      </c>
      <c r="G830" s="1" t="s">
        <v>2064</v>
      </c>
      <c r="H830" t="s">
        <v>136</v>
      </c>
      <c r="J830" s="29">
        <v>11.84</v>
      </c>
      <c r="K830" s="8">
        <v>43766</v>
      </c>
      <c r="L830" s="8">
        <v>43788</v>
      </c>
      <c r="M830">
        <v>11</v>
      </c>
      <c r="N830" s="49" t="s">
        <v>71</v>
      </c>
      <c r="O830">
        <v>2019</v>
      </c>
      <c r="P830">
        <v>0.15029999999999999</v>
      </c>
      <c r="Q830" s="10"/>
      <c r="R830" s="11">
        <f>ROUND(Таб[[#This Row],[Зелений Тариф ЕЦ]]+Таб[[#This Row],[Зелений Тариф ЕЦ]]*Таб[[#This Row],[% надбавки]],4)</f>
        <v>0.15029999999999999</v>
      </c>
      <c r="S830" s="12"/>
      <c r="T830"/>
      <c r="BD8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381.25835965064135</v>
      </c>
      <c r="BE8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657.41910696356911</v>
      </c>
      <c r="BF8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1109.1152280745928</v>
      </c>
      <c r="BG8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1576.4641850657013</v>
      </c>
      <c r="BH8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1940.9516491305371</v>
      </c>
      <c r="BI8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2012.5074702966401</v>
      </c>
      <c r="BJ8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2044.9312017625305</v>
      </c>
      <c r="BK8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1767.6523947438823</v>
      </c>
      <c r="BL8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1241.0462733495949</v>
      </c>
      <c r="BM8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797.17657017861347</v>
      </c>
      <c r="BN8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368.95970288771741</v>
      </c>
      <c r="BO8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311.93865789597919</v>
      </c>
      <c r="BP830">
        <f>SUM(Таб[[#This Row],[1]:[12]])</f>
        <v>14209.420799999998</v>
      </c>
    </row>
    <row r="831" spans="2:68" ht="38.25">
      <c r="B831" t="s">
        <v>384</v>
      </c>
      <c r="C831" t="str">
        <f>IFERROR(VLOOKUP(Таб[[#This Row],[Зелений Тариф ЕЦ]],Sheet6!$H$9:$I$29,2,FALSE),"")</f>
        <v>Земля</v>
      </c>
      <c r="G831" s="1" t="s">
        <v>2066</v>
      </c>
      <c r="H831" t="s">
        <v>122</v>
      </c>
      <c r="J831" s="29">
        <v>24.353999999999999</v>
      </c>
      <c r="K831" s="8">
        <v>43766</v>
      </c>
      <c r="L831" s="8">
        <v>43788</v>
      </c>
      <c r="M831">
        <v>11</v>
      </c>
      <c r="N831" s="49" t="s">
        <v>71</v>
      </c>
      <c r="O831">
        <v>2019</v>
      </c>
      <c r="P831">
        <v>0.15029999999999999</v>
      </c>
      <c r="Q831" s="10"/>
      <c r="R831" s="11">
        <f>ROUND(Таб[[#This Row],[Зелений Тариф ЕЦ]]+Таб[[#This Row],[Зелений Тариф ЕЦ]]*Таб[[#This Row],[% надбавки]],4)</f>
        <v>0.15029999999999999</v>
      </c>
      <c r="S831" s="12"/>
      <c r="T831"/>
      <c r="BD8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784.22010903139528</v>
      </c>
      <c r="BE8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1352.2622407931387</v>
      </c>
      <c r="BF8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2281.3675899095128</v>
      </c>
      <c r="BG8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3242.6696590447718</v>
      </c>
      <c r="BH8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3992.3932823416471</v>
      </c>
      <c r="BI8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4139.578288142262</v>
      </c>
      <c r="BJ8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4206.2714938956642</v>
      </c>
      <c r="BK8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3635.9295964182866</v>
      </c>
      <c r="BL8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2552.7399443543945</v>
      </c>
      <c r="BM8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1639.7329552474621</v>
      </c>
      <c r="BN8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758.92268615941475</v>
      </c>
      <c r="BO8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641.63463466205053</v>
      </c>
      <c r="BP831">
        <f>SUM(Таб[[#This Row],[1]:[12]])</f>
        <v>29227.72248</v>
      </c>
    </row>
    <row r="832" spans="2:68" ht="63.75">
      <c r="B832" t="s">
        <v>384</v>
      </c>
      <c r="C832" t="str">
        <f>IFERROR(VLOOKUP(Таб[[#This Row],[Зелений Тариф ЕЦ]],Sheet6!$H$9:$I$29,2,FALSE),"")</f>
        <v>Земля</v>
      </c>
      <c r="G832" s="1" t="s">
        <v>2068</v>
      </c>
      <c r="H832" t="s">
        <v>122</v>
      </c>
      <c r="J832" s="29">
        <v>4.2320000000000002</v>
      </c>
      <c r="K832" s="8">
        <v>43739</v>
      </c>
      <c r="L832" s="8">
        <v>43788</v>
      </c>
      <c r="M832">
        <v>11</v>
      </c>
      <c r="N832" s="49" t="s">
        <v>71</v>
      </c>
      <c r="O832">
        <v>2019</v>
      </c>
      <c r="P832">
        <v>0.15029999999999999</v>
      </c>
      <c r="Q832" s="10"/>
      <c r="R832" s="11">
        <f>ROUND(Таб[[#This Row],[Зелений Тариф ЕЦ]]+Таб[[#This Row],[Зелений Тариф ЕЦ]]*Таб[[#This Row],[% надбавки]],4)</f>
        <v>0.15029999999999999</v>
      </c>
      <c r="S832" s="12"/>
      <c r="T832"/>
      <c r="BD8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136.27410287512788</v>
      </c>
      <c r="BE8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234.98291052954602</v>
      </c>
      <c r="BF8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396.43375381855378</v>
      </c>
      <c r="BG8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563.47942831064597</v>
      </c>
      <c r="BH8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693.75906918246915</v>
      </c>
      <c r="BI8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719.33544039656942</v>
      </c>
      <c r="BJ8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730.92473360295867</v>
      </c>
      <c r="BK8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631.81629514832014</v>
      </c>
      <c r="BL8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443.5901882445512</v>
      </c>
      <c r="BM8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284.93676055708551</v>
      </c>
      <c r="BN8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131.87816407270441</v>
      </c>
      <c r="BO8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111.49699326146825</v>
      </c>
      <c r="BP832">
        <f>SUM(Таб[[#This Row],[1]:[12]])</f>
        <v>5078.9078400000008</v>
      </c>
    </row>
    <row r="833" spans="2:68" ht="51">
      <c r="B833" t="s">
        <v>384</v>
      </c>
      <c r="C833" t="str">
        <f>IFERROR(VLOOKUP(Таб[[#This Row],[Зелений Тариф ЕЦ]],Sheet6!$H$9:$I$29,2,FALSE),"")</f>
        <v>Земля</v>
      </c>
      <c r="G833" s="1" t="s">
        <v>2070</v>
      </c>
      <c r="H833" t="s">
        <v>65</v>
      </c>
      <c r="J833" s="29">
        <v>3.0640000000000001</v>
      </c>
      <c r="K833" s="8">
        <v>43767</v>
      </c>
      <c r="L833" s="8">
        <v>43788</v>
      </c>
      <c r="M833">
        <v>11</v>
      </c>
      <c r="N833" s="49" t="s">
        <v>71</v>
      </c>
      <c r="O833">
        <v>2019</v>
      </c>
      <c r="P833">
        <v>0.15029999999999999</v>
      </c>
      <c r="Q833" s="10"/>
      <c r="R833" s="11">
        <f>ROUND(Таб[[#This Row],[Зелений Тариф ЕЦ]]+Таб[[#This Row],[Зелений Тариф ЕЦ]]*Таб[[#This Row],[% надбавки]],4)</f>
        <v>0.15029999999999999</v>
      </c>
      <c r="S833" s="12"/>
      <c r="T833"/>
      <c r="BD8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98.663480909591669</v>
      </c>
      <c r="BE8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170.12940403178851</v>
      </c>
      <c r="BF8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287.02103537335745</v>
      </c>
      <c r="BG8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407.9633668109214</v>
      </c>
      <c r="BH8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502.28681190337556</v>
      </c>
      <c r="BI8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520.80429805649533</v>
      </c>
      <c r="BJ8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529.19503396962784</v>
      </c>
      <c r="BK8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457.43977512628851</v>
      </c>
      <c r="BL8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321.16265046817222</v>
      </c>
      <c r="BM8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206.29636917460064</v>
      </c>
      <c r="BN8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95.480787977024178</v>
      </c>
      <c r="BO8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80.724666198756793</v>
      </c>
      <c r="BP833">
        <f>SUM(Таб[[#This Row],[1]:[12]])</f>
        <v>3677.1676800000005</v>
      </c>
    </row>
    <row r="834" spans="2:68" ht="38.25">
      <c r="B834" t="s">
        <v>384</v>
      </c>
      <c r="C834" t="str">
        <f>IFERROR(VLOOKUP(Таб[[#This Row],[Зелений Тариф ЕЦ]],Sheet6!$H$9:$I$29,2,FALSE),"")</f>
        <v>Дах</v>
      </c>
      <c r="G834" s="1" t="s">
        <v>2072</v>
      </c>
      <c r="H834" t="s">
        <v>65</v>
      </c>
      <c r="J834" s="29">
        <v>0.24199999999999999</v>
      </c>
      <c r="K834" s="8">
        <v>43770</v>
      </c>
      <c r="L834" s="8">
        <v>43788</v>
      </c>
      <c r="M834">
        <v>11</v>
      </c>
      <c r="N834" s="49" t="s">
        <v>71</v>
      </c>
      <c r="O834">
        <v>2019</v>
      </c>
      <c r="P834">
        <v>0.16370000000000001</v>
      </c>
      <c r="Q834" s="10"/>
      <c r="R834" s="11">
        <f>ROUND(Таб[[#This Row],[Зелений Тариф ЕЦ]]+Таб[[#This Row],[Зелений Тариф ЕЦ]]*Таб[[#This Row],[% надбавки]],4)</f>
        <v>0.16370000000000001</v>
      </c>
      <c r="S834" s="12"/>
      <c r="T834"/>
      <c r="BD8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7.7926117428593926</v>
      </c>
      <c r="BE8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13.437113503816194</v>
      </c>
      <c r="BF8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22.669415979227317</v>
      </c>
      <c r="BG8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32.221649728538829</v>
      </c>
      <c r="BH8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39.671477963647803</v>
      </c>
      <c r="BI8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41.134020930049573</v>
      </c>
      <c r="BJ8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41.796735711700364</v>
      </c>
      <c r="BK8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36.129381716893533</v>
      </c>
      <c r="BL8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25.365979573530566</v>
      </c>
      <c r="BM8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16.293642735069632</v>
      </c>
      <c r="BN8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7.5412371705090884</v>
      </c>
      <c r="BO8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6.3757732441576831</v>
      </c>
      <c r="BP834">
        <f>SUM(Таб[[#This Row],[1]:[12]])</f>
        <v>290.42903999999999</v>
      </c>
    </row>
    <row r="835" spans="2:68" ht="51">
      <c r="B835" t="s">
        <v>384</v>
      </c>
      <c r="C835" t="str">
        <f>IFERROR(VLOOKUP(Таб[[#This Row],[Зелений Тариф ЕЦ]],Sheet6!$H$9:$I$29,2,FALSE),"")</f>
        <v>Дах</v>
      </c>
      <c r="G835" s="1" t="s">
        <v>2074</v>
      </c>
      <c r="H835" t="s">
        <v>73</v>
      </c>
      <c r="J835" s="29">
        <v>0.24099999999999999</v>
      </c>
      <c r="K835" s="8">
        <v>43732</v>
      </c>
      <c r="L835" s="8">
        <v>43788</v>
      </c>
      <c r="M835">
        <v>11</v>
      </c>
      <c r="N835" s="49" t="s">
        <v>71</v>
      </c>
      <c r="O835">
        <v>2019</v>
      </c>
      <c r="P835">
        <v>0.16370000000000001</v>
      </c>
      <c r="Q835" s="10"/>
      <c r="R835" s="11">
        <f>ROUND(Таб[[#This Row],[Зелений Тариф ЕЦ]]+Таб[[#This Row],[Зелений Тариф ЕЦ]]*Таб[[#This Row],[% надбавки]],4)</f>
        <v>0.16370000000000001</v>
      </c>
      <c r="S835" s="12"/>
      <c r="T835"/>
      <c r="BD8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7.7604108678888988</v>
      </c>
      <c r="BE8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13.38158824140373</v>
      </c>
      <c r="BF8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22.575740706585883</v>
      </c>
      <c r="BG8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32.088502415610982</v>
      </c>
      <c r="BH8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39.5075462365253</v>
      </c>
      <c r="BI8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40.964045636950196</v>
      </c>
      <c r="BJ8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41.624021927767721</v>
      </c>
      <c r="BK8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35.980086751121249</v>
      </c>
      <c r="BL8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25.261161476119288</v>
      </c>
      <c r="BM8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16.226313632858602</v>
      </c>
      <c r="BN8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7.5100750334408701</v>
      </c>
      <c r="BO8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6.3494270737272807</v>
      </c>
      <c r="BP835">
        <f>SUM(Таб[[#This Row],[1]:[12]])</f>
        <v>289.22892000000002</v>
      </c>
    </row>
    <row r="836" spans="2:68" ht="51">
      <c r="B836" t="s">
        <v>384</v>
      </c>
      <c r="C836" t="str">
        <f>IFERROR(VLOOKUP(Таб[[#This Row],[Зелений Тариф ЕЦ]],Sheet6!$H$9:$I$29,2,FALSE),"")</f>
        <v>Дах</v>
      </c>
      <c r="G836" s="1" t="s">
        <v>2074</v>
      </c>
      <c r="H836" t="s">
        <v>73</v>
      </c>
      <c r="J836" s="29">
        <v>0.35299999999999998</v>
      </c>
      <c r="K836" s="8">
        <v>43746</v>
      </c>
      <c r="L836" s="8">
        <v>43788</v>
      </c>
      <c r="M836">
        <v>11</v>
      </c>
      <c r="N836" s="49" t="s">
        <v>71</v>
      </c>
      <c r="O836">
        <v>2019</v>
      </c>
      <c r="P836">
        <v>0.16370000000000001</v>
      </c>
      <c r="Q836" s="10"/>
      <c r="R836" s="11">
        <f>ROUND(Таб[[#This Row],[Зелений Тариф ЕЦ]]+Таб[[#This Row],[Зелений Тариф ЕЦ]]*Таб[[#This Row],[% надбавки]],4)</f>
        <v>0.16370000000000001</v>
      </c>
      <c r="S836" s="12"/>
      <c r="T836"/>
      <c r="BD8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11.366908864584154</v>
      </c>
      <c r="BE8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19.600417631599655</v>
      </c>
      <c r="BF8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33.067371242426617</v>
      </c>
      <c r="BG8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47.001001463529775</v>
      </c>
      <c r="BH8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57.867899674246594</v>
      </c>
      <c r="BI8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60.001278464080563</v>
      </c>
      <c r="BJ8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60.967965728224087</v>
      </c>
      <c r="BK8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52.70112291761744</v>
      </c>
      <c r="BL8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37.000788386183018</v>
      </c>
      <c r="BM8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23.767173080494139</v>
      </c>
      <c r="BN8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11.000234385081439</v>
      </c>
      <c r="BO8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9.3001981619324887</v>
      </c>
      <c r="BP836">
        <f>SUM(Таб[[#This Row],[1]:[12]])</f>
        <v>423.64236000000005</v>
      </c>
    </row>
    <row r="837" spans="2:68" ht="51">
      <c r="B837" t="s">
        <v>384</v>
      </c>
      <c r="C837" t="str">
        <f>IFERROR(VLOOKUP(Таб[[#This Row],[Зелений Тариф ЕЦ]],Sheet6!$H$9:$I$29,2,FALSE),"")</f>
        <v>Дах</v>
      </c>
      <c r="G837" s="1" t="s">
        <v>2077</v>
      </c>
      <c r="H837" t="s">
        <v>233</v>
      </c>
      <c r="J837" s="29">
        <v>8.1000000000000003E-2</v>
      </c>
      <c r="K837" s="8">
        <v>43742</v>
      </c>
      <c r="L837" s="8">
        <v>43788</v>
      </c>
      <c r="M837">
        <v>11</v>
      </c>
      <c r="N837" s="49" t="s">
        <v>71</v>
      </c>
      <c r="O837">
        <v>2019</v>
      </c>
      <c r="P837">
        <v>0.16370000000000001</v>
      </c>
      <c r="Q837" s="10"/>
      <c r="R837" s="11">
        <f>ROUND(Таб[[#This Row],[Зелений Тариф ЕЦ]]+Таб[[#This Row],[Зелений Тариф ЕЦ]]*Таб[[#This Row],[% надбавки]],4)</f>
        <v>0.16370000000000001</v>
      </c>
      <c r="S837" s="12"/>
      <c r="T837"/>
      <c r="BD8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2.6082708726099622</v>
      </c>
      <c r="BE8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4.497546255409552</v>
      </c>
      <c r="BF8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7.5876970839562521</v>
      </c>
      <c r="BG8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10.784932347155559</v>
      </c>
      <c r="BH8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13.27846989692344</v>
      </c>
      <c r="BI8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13.76799874104965</v>
      </c>
      <c r="BJ8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13.989816498544339</v>
      </c>
      <c r="BK8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12.092892227555279</v>
      </c>
      <c r="BL8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8.4902658903139514</v>
      </c>
      <c r="BM8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5.453657279093556</v>
      </c>
      <c r="BN8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2.5241331025257696</v>
      </c>
      <c r="BO8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2.1340398048626956</v>
      </c>
      <c r="BP837">
        <f>SUM(Таб[[#This Row],[1]:[12]])</f>
        <v>97.209720000000019</v>
      </c>
    </row>
    <row r="838" spans="2:68" ht="38.25">
      <c r="B838" t="s">
        <v>384</v>
      </c>
      <c r="C838" t="str">
        <f>IFERROR(VLOOKUP(Таб[[#This Row],[Зелений Тариф ЕЦ]],Sheet6!$H$9:$I$29,2,FALSE),"")</f>
        <v>Земля</v>
      </c>
      <c r="D838" t="s">
        <v>3423</v>
      </c>
      <c r="F838" t="s">
        <v>3287</v>
      </c>
      <c r="G838" s="1" t="s">
        <v>2079</v>
      </c>
      <c r="H838" t="s">
        <v>82</v>
      </c>
      <c r="J838" s="7">
        <v>10.84</v>
      </c>
      <c r="K838" s="8">
        <v>43768</v>
      </c>
      <c r="L838" s="8">
        <v>43795</v>
      </c>
      <c r="M838">
        <v>11</v>
      </c>
      <c r="N838" s="49" t="s">
        <v>71</v>
      </c>
      <c r="O838">
        <v>2019</v>
      </c>
      <c r="P838">
        <v>0.15029999999999999</v>
      </c>
      <c r="Q838" s="10"/>
      <c r="R838" s="11">
        <f>ROUND(Таб[[#This Row],[Зелений Тариф ЕЦ]]+Таб[[#This Row],[Зелений Тариф ЕЦ]]*Таб[[#This Row],[% надбавки]],4)</f>
        <v>0.15029999999999999</v>
      </c>
      <c r="S838" s="12"/>
      <c r="T838"/>
      <c r="BD8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349.05748468014798</v>
      </c>
      <c r="BE8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601.89384455110553</v>
      </c>
      <c r="BF8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1015.4399554331576</v>
      </c>
      <c r="BG8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1443.3168721378552</v>
      </c>
      <c r="BH8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1777.0199220080258</v>
      </c>
      <c r="BI8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1842.5321771972617</v>
      </c>
      <c r="BJ8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1872.2174178298842</v>
      </c>
      <c r="BK8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1618.3574289715948</v>
      </c>
      <c r="BL8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1136.2281759383113</v>
      </c>
      <c r="BM8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729.84746796758191</v>
      </c>
      <c r="BN8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337.79756581949806</v>
      </c>
      <c r="BO8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285.59248746557557</v>
      </c>
      <c r="BP838">
        <f>SUM(Таб[[#This Row],[1]:[12]])</f>
        <v>13009.300799999999</v>
      </c>
    </row>
    <row r="839" spans="2:68" ht="51">
      <c r="B839" t="s">
        <v>384</v>
      </c>
      <c r="C839" t="str">
        <f>IFERROR(VLOOKUP(Таб[[#This Row],[Зелений Тариф ЕЦ]],Sheet6!$H$9:$I$29,2,FALSE),"")</f>
        <v>Земля</v>
      </c>
      <c r="D839" t="s">
        <v>3424</v>
      </c>
      <c r="F839" t="s">
        <v>3287</v>
      </c>
      <c r="G839" s="1" t="s">
        <v>2081</v>
      </c>
      <c r="H839" t="s">
        <v>82</v>
      </c>
      <c r="J839" s="7">
        <v>11.016999999999999</v>
      </c>
      <c r="K839" s="8">
        <v>43775</v>
      </c>
      <c r="L839" s="8">
        <v>43795</v>
      </c>
      <c r="M839">
        <v>11</v>
      </c>
      <c r="N839" s="49" t="s">
        <v>71</v>
      </c>
      <c r="O839">
        <v>2019</v>
      </c>
      <c r="P839">
        <v>0.15029999999999999</v>
      </c>
      <c r="Q839" s="10"/>
      <c r="R839" s="11">
        <f>ROUND(Таб[[#This Row],[Зелений Тариф ЕЦ]]+Таб[[#This Row],[Зелений Тариф ЕЦ]]*Таб[[#This Row],[% надбавки]],4)</f>
        <v>0.15029999999999999</v>
      </c>
      <c r="S839" s="12"/>
      <c r="T839"/>
      <c r="BD8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354.75703954992525</v>
      </c>
      <c r="BE8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611.72181599811154</v>
      </c>
      <c r="BF8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1032.0204786906916</v>
      </c>
      <c r="BG8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1466.8839465260839</v>
      </c>
      <c r="BH8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1806.03583770871</v>
      </c>
      <c r="BI8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1872.6178040758518</v>
      </c>
      <c r="BJ8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1902.7877575859625</v>
      </c>
      <c r="BK8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1644.7826379132896</v>
      </c>
      <c r="BL8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1154.7809791801085</v>
      </c>
      <c r="BM8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741.76471905893459</v>
      </c>
      <c r="BN8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343.31326408057282</v>
      </c>
      <c r="BO8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290.25575963175697</v>
      </c>
      <c r="BP839">
        <f>SUM(Таб[[#This Row],[1]:[12]])</f>
        <v>13221.722039999997</v>
      </c>
    </row>
    <row r="840" spans="2:68" ht="51">
      <c r="B840" t="s">
        <v>384</v>
      </c>
      <c r="C840" t="str">
        <f>IFERROR(VLOOKUP(Таб[[#This Row],[Зелений Тариф ЕЦ]],Sheet6!$H$9:$I$29,2,FALSE),"")</f>
        <v>Земля</v>
      </c>
      <c r="D840" t="s">
        <v>3365</v>
      </c>
      <c r="E840" t="s">
        <v>3425</v>
      </c>
      <c r="F840" t="s">
        <v>3364</v>
      </c>
      <c r="G840" s="1" t="s">
        <v>2083</v>
      </c>
      <c r="H840" t="s">
        <v>136</v>
      </c>
      <c r="J840" s="7">
        <v>11.398</v>
      </c>
      <c r="K840" s="8">
        <v>43766</v>
      </c>
      <c r="L840" s="8">
        <v>43795</v>
      </c>
      <c r="M840">
        <v>11</v>
      </c>
      <c r="N840" s="49" t="s">
        <v>71</v>
      </c>
      <c r="O840">
        <v>2019</v>
      </c>
      <c r="P840">
        <v>0.15029999999999999</v>
      </c>
      <c r="Q840" s="10">
        <v>0.05</v>
      </c>
      <c r="R840" s="11">
        <f>ROUND(Таб[[#This Row],[Зелений Тариф ЕЦ]]+Таб[[#This Row],[Зелений Тариф ЕЦ]]*Таб[[#This Row],[% надбавки]],4)</f>
        <v>0.1578</v>
      </c>
      <c r="S840" s="12">
        <v>43844</v>
      </c>
      <c r="T840"/>
      <c r="BD8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367.02557291368328</v>
      </c>
      <c r="BE8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632.87694097726023</v>
      </c>
      <c r="BF8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1067.7107575670784</v>
      </c>
      <c r="BG8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1517.6130727515933</v>
      </c>
      <c r="BH8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1868.4938257423871</v>
      </c>
      <c r="BI8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1937.378390746715</v>
      </c>
      <c r="BJ8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1968.591709264301</v>
      </c>
      <c r="BK8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1701.6640198725313</v>
      </c>
      <c r="BL8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1194.7166742938077</v>
      </c>
      <c r="BM8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767.4171070013374</v>
      </c>
      <c r="BN8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355.18603830356449</v>
      </c>
      <c r="BO8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300.29365056574079</v>
      </c>
      <c r="BP840">
        <f>SUM(Таб[[#This Row],[1]:[12]])</f>
        <v>13678.96776</v>
      </c>
    </row>
    <row r="841" spans="2:68" ht="38.25">
      <c r="B841" t="s">
        <v>384</v>
      </c>
      <c r="C841" t="str">
        <f>IFERROR(VLOOKUP(Таб[[#This Row],[Зелений Тариф ЕЦ]],Sheet6!$H$9:$I$29,2,FALSE),"")</f>
        <v>Земля</v>
      </c>
      <c r="D841" t="s">
        <v>3365</v>
      </c>
      <c r="E841" t="s">
        <v>3425</v>
      </c>
      <c r="F841" t="s">
        <v>3364</v>
      </c>
      <c r="G841" s="1" t="s">
        <v>2086</v>
      </c>
      <c r="H841" t="s">
        <v>263</v>
      </c>
      <c r="J841" s="7">
        <v>10.396000000000001</v>
      </c>
      <c r="K841" s="8">
        <v>43766</v>
      </c>
      <c r="L841" s="8">
        <v>43795</v>
      </c>
      <c r="M841">
        <v>11</v>
      </c>
      <c r="N841" s="49" t="s">
        <v>71</v>
      </c>
      <c r="O841">
        <v>2019</v>
      </c>
      <c r="P841">
        <v>0.15029999999999999</v>
      </c>
      <c r="Q841" s="10">
        <v>0.05</v>
      </c>
      <c r="R841" s="11">
        <f>ROUND(Таб[[#This Row],[Зелений Тариф ЕЦ]]+Таб[[#This Row],[Зелений Тариф ЕЦ]]*Таб[[#This Row],[% надбавки]],4)</f>
        <v>0.1578</v>
      </c>
      <c r="S841" s="12">
        <v>43844</v>
      </c>
      <c r="T841"/>
      <c r="BD8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334.76029619324896</v>
      </c>
      <c r="BE8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577.24062803997174</v>
      </c>
      <c r="BF8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973.84813438036031</v>
      </c>
      <c r="BG8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1384.1994651978914</v>
      </c>
      <c r="BH8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1704.2342351656309</v>
      </c>
      <c r="BI8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1767.0631470611379</v>
      </c>
      <c r="BJ8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1795.5324977637895</v>
      </c>
      <c r="BK8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1552.0704641686993</v>
      </c>
      <c r="BL8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1089.6889406877017</v>
      </c>
      <c r="BM8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699.95334658588399</v>
      </c>
      <c r="BN8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323.96157696120872</v>
      </c>
      <c r="BO8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273.89478779447637</v>
      </c>
      <c r="BP841">
        <f>SUM(Таб[[#This Row],[1]:[12]])</f>
        <v>12476.44752</v>
      </c>
    </row>
    <row r="842" spans="2:68" ht="38.25">
      <c r="B842" t="s">
        <v>384</v>
      </c>
      <c r="C842" t="str">
        <f>IFERROR(VLOOKUP(Таб[[#This Row],[Зелений Тариф ЕЦ]],Sheet6!$H$9:$I$29,2,FALSE),"")</f>
        <v>Земля</v>
      </c>
      <c r="D842" t="s">
        <v>3365</v>
      </c>
      <c r="E842" t="s">
        <v>3363</v>
      </c>
      <c r="F842" t="s">
        <v>3364</v>
      </c>
      <c r="G842" s="1" t="s">
        <v>2089</v>
      </c>
      <c r="H842" t="s">
        <v>263</v>
      </c>
      <c r="J842" s="7">
        <v>20.033999999999999</v>
      </c>
      <c r="K842" s="8">
        <v>43735</v>
      </c>
      <c r="L842" s="8">
        <v>43795</v>
      </c>
      <c r="M842">
        <v>11</v>
      </c>
      <c r="N842" s="49" t="s">
        <v>71</v>
      </c>
      <c r="O842">
        <v>2019</v>
      </c>
      <c r="P842">
        <v>0.15029999999999999</v>
      </c>
      <c r="Q842" s="10"/>
      <c r="R842" s="11">
        <f>ROUND(Таб[[#This Row],[Зелений Тариф ЕЦ]]+Таб[[#This Row],[Зелений Тариф ЕЦ]]*Таб[[#This Row],[% надбавки]],4)</f>
        <v>0.15029999999999999</v>
      </c>
      <c r="S842" s="12"/>
      <c r="T842"/>
      <c r="BD8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645.11232915886387</v>
      </c>
      <c r="BE8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1112.3931071712959</v>
      </c>
      <c r="BF8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1876.6904120985128</v>
      </c>
      <c r="BG8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2667.4732671964748</v>
      </c>
      <c r="BH8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3284.2082211723973</v>
      </c>
      <c r="BI8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3405.2850219529464</v>
      </c>
      <c r="BJ8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3460.1479473066329</v>
      </c>
      <c r="BK8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2990.9753442820052</v>
      </c>
      <c r="BL8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2099.9257635376507</v>
      </c>
      <c r="BM8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1348.8712336958058</v>
      </c>
      <c r="BN8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624.30225402470694</v>
      </c>
      <c r="BO8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527.81917840270671</v>
      </c>
      <c r="BP842">
        <f>SUM(Таб[[#This Row],[1]:[12]])</f>
        <v>24043.20408</v>
      </c>
    </row>
    <row r="843" spans="2:68" ht="51">
      <c r="B843" t="s">
        <v>384</v>
      </c>
      <c r="C843" t="str">
        <f>IFERROR(VLOOKUP(Таб[[#This Row],[Зелений Тариф ЕЦ]],Sheet6!$H$9:$I$29,2,FALSE),"")</f>
        <v>Земля</v>
      </c>
      <c r="E843" t="s">
        <v>3426</v>
      </c>
      <c r="G843" s="1" t="s">
        <v>2092</v>
      </c>
      <c r="H843" t="s">
        <v>233</v>
      </c>
      <c r="J843" s="7">
        <v>12.647</v>
      </c>
      <c r="K843" s="8">
        <v>43760</v>
      </c>
      <c r="L843" s="8">
        <v>43795</v>
      </c>
      <c r="M843">
        <v>11</v>
      </c>
      <c r="N843" s="49" t="s">
        <v>71</v>
      </c>
      <c r="O843">
        <v>2019</v>
      </c>
      <c r="P843">
        <v>0.15029999999999999</v>
      </c>
      <c r="Q843" s="10"/>
      <c r="R843" s="11">
        <f>ROUND(Таб[[#This Row],[Зелений Тариф ЕЦ]]+Таб[[#This Row],[Зелений Тариф ЕЦ]]*Таб[[#This Row],[% надбавки]],4)</f>
        <v>0.15029999999999999</v>
      </c>
      <c r="S843" s="12"/>
      <c r="T843"/>
      <c r="BD8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407.24446575182952</v>
      </c>
      <c r="BE8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702.22799373042744</v>
      </c>
      <c r="BF8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1184.7111730962311</v>
      </c>
      <c r="BG8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1683.9140665984737</v>
      </c>
      <c r="BH8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2073.2445529184047</v>
      </c>
      <c r="BI8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2149.6775318278387</v>
      </c>
      <c r="BJ8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2184.3112253961763</v>
      </c>
      <c r="BK8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1888.1334321221184</v>
      </c>
      <c r="BL8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1325.6344779605006</v>
      </c>
      <c r="BM8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851.51115566291605</v>
      </c>
      <c r="BN8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394.10754750177051</v>
      </c>
      <c r="BO8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333.200017433315</v>
      </c>
      <c r="BP843">
        <f>SUM(Таб[[#This Row],[1]:[12]])</f>
        <v>15177.917640000003</v>
      </c>
    </row>
    <row r="844" spans="2:68" ht="51">
      <c r="B844" t="s">
        <v>384</v>
      </c>
      <c r="C844" t="str">
        <f>IFERROR(VLOOKUP(Таб[[#This Row],[Зелений Тариф ЕЦ]],Sheet6!$H$9:$I$29,2,FALSE),"")</f>
        <v>Земля</v>
      </c>
      <c r="E844" t="s">
        <v>3426</v>
      </c>
      <c r="G844" s="1" t="s">
        <v>2092</v>
      </c>
      <c r="H844" t="s">
        <v>233</v>
      </c>
      <c r="J844" s="7">
        <v>11.497</v>
      </c>
      <c r="K844" s="8">
        <v>43760</v>
      </c>
      <c r="L844" s="8">
        <v>43795</v>
      </c>
      <c r="M844">
        <v>11</v>
      </c>
      <c r="N844" s="49" t="s">
        <v>71</v>
      </c>
      <c r="O844">
        <v>2019</v>
      </c>
      <c r="P844">
        <v>0.15029999999999999</v>
      </c>
      <c r="Q844" s="10"/>
      <c r="R844" s="11">
        <f>ROUND(Таб[[#This Row],[Зелений Тариф ЕЦ]]+Таб[[#This Row],[Зелений Тариф ЕЦ]]*Таб[[#This Row],[% надбавки]],4)</f>
        <v>0.15029999999999999</v>
      </c>
      <c r="S844" s="12"/>
      <c r="T844"/>
      <c r="BD8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370.21345953576213</v>
      </c>
      <c r="BE8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638.37394195609409</v>
      </c>
      <c r="BF8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1076.9846095585804</v>
      </c>
      <c r="BG8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1530.7946567314502</v>
      </c>
      <c r="BH8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1884.7230667275157</v>
      </c>
      <c r="BI8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1954.2059447635536</v>
      </c>
      <c r="BJ8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1985.690373873633</v>
      </c>
      <c r="BK8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1716.4442214839878</v>
      </c>
      <c r="BL8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1205.0936659375247</v>
      </c>
      <c r="BM8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774.0826881202297</v>
      </c>
      <c r="BN8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358.27108987331815</v>
      </c>
      <c r="BO8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302.90192143835083</v>
      </c>
      <c r="BP844">
        <f>SUM(Таб[[#This Row],[1]:[12]])</f>
        <v>13797.779640000002</v>
      </c>
    </row>
    <row r="845" spans="2:68" ht="63.75">
      <c r="B845" t="s">
        <v>384</v>
      </c>
      <c r="C845" t="str">
        <f>IFERROR(VLOOKUP(Таб[[#This Row],[Зелений Тариф ЕЦ]],Sheet6!$H$9:$I$29,2,FALSE),"")</f>
        <v>Земля</v>
      </c>
      <c r="G845" s="1" t="s">
        <v>2097</v>
      </c>
      <c r="H845" t="s">
        <v>185</v>
      </c>
      <c r="J845" s="7">
        <v>1.5620000000000001</v>
      </c>
      <c r="K845" s="8">
        <v>43770</v>
      </c>
      <c r="L845" s="8">
        <v>43795</v>
      </c>
      <c r="M845">
        <v>11</v>
      </c>
      <c r="N845" s="49" t="s">
        <v>71</v>
      </c>
      <c r="O845">
        <v>2019</v>
      </c>
      <c r="P845">
        <v>0.15029999999999999</v>
      </c>
      <c r="Q845" s="10"/>
      <c r="R845" s="11">
        <f>ROUND(Таб[[#This Row],[Зелений Тариф ЕЦ]]+Таб[[#This Row],[Зелений Тариф ЕЦ]]*Таб[[#This Row],[% надбавки]],4)</f>
        <v>0.15029999999999999</v>
      </c>
      <c r="S845" s="12"/>
      <c r="T845"/>
      <c r="BD8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50.297766703910625</v>
      </c>
      <c r="BE8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86.730459888268157</v>
      </c>
      <c r="BF8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146.3207758659218</v>
      </c>
      <c r="BG8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207.97610279329609</v>
      </c>
      <c r="BH8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256.06135776536314</v>
      </c>
      <c r="BI8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265.50140782122907</v>
      </c>
      <c r="BJ8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269.77893050279334</v>
      </c>
      <c r="BK8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233.19873653631288</v>
      </c>
      <c r="BL8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163.72586815642461</v>
      </c>
      <c r="BM8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105.16805765363128</v>
      </c>
      <c r="BN8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48.675258100558665</v>
      </c>
      <c r="BO8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41.152718212290509</v>
      </c>
      <c r="BP845">
        <f>SUM(Таб[[#This Row],[1]:[12]])</f>
        <v>1874.5874400000002</v>
      </c>
    </row>
    <row r="846" spans="2:68" ht="51">
      <c r="B846" t="s">
        <v>384</v>
      </c>
      <c r="C846" t="str">
        <f>IFERROR(VLOOKUP(Таб[[#This Row],[Зелений Тариф ЕЦ]],Sheet6!$H$9:$I$29,2,FALSE),"")</f>
        <v>Земля</v>
      </c>
      <c r="G846" s="1" t="s">
        <v>2099</v>
      </c>
      <c r="H846" t="s">
        <v>62</v>
      </c>
      <c r="J846" s="7">
        <v>0.752</v>
      </c>
      <c r="K846" s="8">
        <v>43773</v>
      </c>
      <c r="L846" s="8">
        <v>43795</v>
      </c>
      <c r="M846">
        <v>11</v>
      </c>
      <c r="N846" s="49" t="s">
        <v>71</v>
      </c>
      <c r="O846">
        <v>2019</v>
      </c>
      <c r="P846">
        <v>0.15029999999999999</v>
      </c>
      <c r="Q846" s="10"/>
      <c r="R846" s="11">
        <f>ROUND(Таб[[#This Row],[Зелений Тариф ЕЦ]]+Таб[[#This Row],[Зелений Тариф ЕЦ]]*Таб[[#This Row],[% надбавки]],4)</f>
        <v>0.15029999999999999</v>
      </c>
      <c r="S846" s="12"/>
      <c r="T846"/>
      <c r="BD8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24.215057977811</v>
      </c>
      <c r="BE8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41.754997334172636</v>
      </c>
      <c r="BF8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70.443805026359271</v>
      </c>
      <c r="BG8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100.12677932174049</v>
      </c>
      <c r="BH8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123.27665879612873</v>
      </c>
      <c r="BI8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127.82142041073254</v>
      </c>
      <c r="BJ8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129.88076551734991</v>
      </c>
      <c r="BK8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112.26981426076009</v>
      </c>
      <c r="BL8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78.823209253285086</v>
      </c>
      <c r="BM8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50.631484862695729</v>
      </c>
      <c r="BN8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23.433927075300971</v>
      </c>
      <c r="BO8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19.812320163663546</v>
      </c>
      <c r="BP846">
        <f>SUM(Таб[[#This Row],[1]:[12]])</f>
        <v>902.49023999999997</v>
      </c>
    </row>
    <row r="847" spans="2:68" ht="38.25">
      <c r="B847" t="s">
        <v>384</v>
      </c>
      <c r="C847" t="str">
        <f>IFERROR(VLOOKUP(Таб[[#This Row],[Зелений Тариф ЕЦ]],Sheet6!$H$9:$I$29,2,FALSE),"")</f>
        <v>Земля</v>
      </c>
      <c r="G847" s="1" t="s">
        <v>2101</v>
      </c>
      <c r="H847" t="s">
        <v>233</v>
      </c>
      <c r="J847" s="7">
        <v>1.016</v>
      </c>
      <c r="K847" s="8">
        <v>43775</v>
      </c>
      <c r="L847" s="8">
        <v>43795</v>
      </c>
      <c r="M847">
        <v>11</v>
      </c>
      <c r="N847" s="49" t="s">
        <v>71</v>
      </c>
      <c r="O847">
        <v>2019</v>
      </c>
      <c r="P847">
        <v>0.15029999999999999</v>
      </c>
      <c r="Q847" s="10"/>
      <c r="R847" s="11">
        <f>ROUND(Таб[[#This Row],[Зелений Тариф ЕЦ]]+Таб[[#This Row],[Зелений Тариф ЕЦ]]*Таб[[#This Row],[% надбавки]],4)</f>
        <v>0.15029999999999999</v>
      </c>
      <c r="S847" s="12"/>
      <c r="T847"/>
      <c r="BD8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32.716088970021246</v>
      </c>
      <c r="BE8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56.413666611063029</v>
      </c>
      <c r="BF8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95.174077003698173</v>
      </c>
      <c r="BG8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135.27766993469197</v>
      </c>
      <c r="BH8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166.55463475647178</v>
      </c>
      <c r="BI8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172.69489778896843</v>
      </c>
      <c r="BJ8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175.4772044755685</v>
      </c>
      <c r="BK8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151.68368522464397</v>
      </c>
      <c r="BL8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106.49518696986388</v>
      </c>
      <c r="BM8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68.406367846408045</v>
      </c>
      <c r="BN8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31.660731261310886</v>
      </c>
      <c r="BO8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26.76770915729011</v>
      </c>
      <c r="BP847">
        <f>SUM(Таб[[#This Row],[1]:[12]])</f>
        <v>1219.3219200000001</v>
      </c>
    </row>
    <row r="848" spans="2:68" ht="38.25">
      <c r="B848" t="s">
        <v>384</v>
      </c>
      <c r="C848" t="str">
        <f>IFERROR(VLOOKUP(Таб[[#This Row],[Зелений Тариф ЕЦ]],Sheet6!$H$9:$I$29,2,FALSE),"")</f>
        <v>Земля</v>
      </c>
      <c r="G848" s="1" t="s">
        <v>2103</v>
      </c>
      <c r="H848" t="s">
        <v>122</v>
      </c>
      <c r="J848" s="7">
        <v>6.1820000000000004</v>
      </c>
      <c r="K848" s="8">
        <v>43738</v>
      </c>
      <c r="L848" s="8">
        <v>43795</v>
      </c>
      <c r="M848">
        <v>11</v>
      </c>
      <c r="N848" s="49" t="s">
        <v>71</v>
      </c>
      <c r="O848">
        <v>2019</v>
      </c>
      <c r="P848">
        <v>0.15029999999999999</v>
      </c>
      <c r="Q848" s="10"/>
      <c r="R848" s="11">
        <f>ROUND(Таб[[#This Row],[Зелений Тариф ЕЦ]]+Таб[[#This Row],[Зелений Тариф ЕЦ]]*Таб[[#This Row],[% надбавки]],4)</f>
        <v>0.15029999999999999</v>
      </c>
      <c r="S848" s="12"/>
      <c r="T848"/>
      <c r="BD8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199.06580906758995</v>
      </c>
      <c r="BE8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343.2571722338501</v>
      </c>
      <c r="BF8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579.10053546935239</v>
      </c>
      <c r="BG8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823.11668851994659</v>
      </c>
      <c r="BH8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1013.4259370713668</v>
      </c>
      <c r="BI8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1050.7872619403572</v>
      </c>
      <c r="BJ8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1067.7166122716185</v>
      </c>
      <c r="BK8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922.94147840428047</v>
      </c>
      <c r="BL8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647.98547819655369</v>
      </c>
      <c r="BM8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416.22850986859709</v>
      </c>
      <c r="BN8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192.64433135573222</v>
      </c>
      <c r="BO8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162.87202560075539</v>
      </c>
      <c r="BP848">
        <f>SUM(Таб[[#This Row],[1]:[12]])</f>
        <v>7419.1418399999993</v>
      </c>
    </row>
    <row r="849" spans="2:68" ht="51">
      <c r="B849" t="s">
        <v>384</v>
      </c>
      <c r="C849" t="str">
        <f>IFERROR(VLOOKUP(Таб[[#This Row],[Зелений Тариф ЕЦ]],Sheet6!$H$9:$I$29,2,FALSE),"")</f>
        <v>Земля</v>
      </c>
      <c r="G849" s="1" t="s">
        <v>2105</v>
      </c>
      <c r="H849" t="s">
        <v>1257</v>
      </c>
      <c r="J849" s="7">
        <v>1.1160000000000001</v>
      </c>
      <c r="K849" s="8">
        <v>43714</v>
      </c>
      <c r="L849" s="8">
        <v>43795</v>
      </c>
      <c r="M849">
        <v>11</v>
      </c>
      <c r="N849" s="49" t="s">
        <v>71</v>
      </c>
      <c r="O849">
        <v>2019</v>
      </c>
      <c r="P849">
        <v>0.15029999999999999</v>
      </c>
      <c r="Q849" s="10"/>
      <c r="R849" s="11">
        <f>ROUND(Таб[[#This Row],[Зелений Тариф ЕЦ]]+Таб[[#This Row],[Зелений Тариф ЕЦ]]*Таб[[#This Row],[% надбавки]],4)</f>
        <v>0.15029999999999999</v>
      </c>
      <c r="S849" s="12"/>
      <c r="T849"/>
      <c r="BD8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35.936176467070581</v>
      </c>
      <c r="BE8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61.966192852309405</v>
      </c>
      <c r="BF8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104.54160426784171</v>
      </c>
      <c r="BG8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148.59240122747659</v>
      </c>
      <c r="BH8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182.94780746872297</v>
      </c>
      <c r="BI8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189.69242709890631</v>
      </c>
      <c r="BJ8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192.74858286883313</v>
      </c>
      <c r="BK8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166.61318180187271</v>
      </c>
      <c r="BL8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116.97699671099221</v>
      </c>
      <c r="BM8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75.139278067511214</v>
      </c>
      <c r="BN8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34.776944968132824</v>
      </c>
      <c r="BO8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29.402326200330478</v>
      </c>
      <c r="BP849">
        <f>SUM(Таб[[#This Row],[1]:[12]])</f>
        <v>1339.33392</v>
      </c>
    </row>
    <row r="850" spans="2:68" ht="51">
      <c r="B850" t="s">
        <v>384</v>
      </c>
      <c r="C850" t="str">
        <f>IFERROR(VLOOKUP(Таб[[#This Row],[Зелений Тариф ЕЦ]],Sheet6!$H$9:$I$29,2,FALSE),"")</f>
        <v>Земля</v>
      </c>
      <c r="G850" s="1" t="s">
        <v>2107</v>
      </c>
      <c r="H850" t="s">
        <v>122</v>
      </c>
      <c r="J850" s="7">
        <v>2.3519999999999999</v>
      </c>
      <c r="K850" s="8">
        <v>43784</v>
      </c>
      <c r="L850" s="8">
        <v>43795</v>
      </c>
      <c r="M850">
        <v>11</v>
      </c>
      <c r="N850" s="49" t="s">
        <v>71</v>
      </c>
      <c r="O850">
        <v>2019</v>
      </c>
      <c r="P850">
        <v>0.15029999999999999</v>
      </c>
      <c r="Q850" s="10"/>
      <c r="R850" s="11">
        <f>ROUND(Таб[[#This Row],[Зелений Тариф ЕЦ]]+Таб[[#This Row],[Зелений Тариф ЕЦ]]*Таб[[#This Row],[% надбавки]],4)</f>
        <v>0.15029999999999999</v>
      </c>
      <c r="S850" s="12"/>
      <c r="T850"/>
      <c r="BD8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75.73645793060038</v>
      </c>
      <c r="BE8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130.59541719411442</v>
      </c>
      <c r="BF8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220.32424125265561</v>
      </c>
      <c r="BG8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313.16248000629474</v>
      </c>
      <c r="BH8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385.56742219214721</v>
      </c>
      <c r="BI8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399.781889369738</v>
      </c>
      <c r="BJ8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406.22281980958371</v>
      </c>
      <c r="BK8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351.14175949641987</v>
      </c>
      <c r="BL8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246.53216511133843</v>
      </c>
      <c r="BM8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158.35804840034621</v>
      </c>
      <c r="BN8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73.293346384451979</v>
      </c>
      <c r="BO8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61.966192852309391</v>
      </c>
      <c r="BP850">
        <f>SUM(Таб[[#This Row],[1]:[12]])</f>
        <v>2822.6822400000001</v>
      </c>
    </row>
    <row r="851" spans="2:68" ht="38.25">
      <c r="B851" t="s">
        <v>384</v>
      </c>
      <c r="C851" t="str">
        <f>IFERROR(VLOOKUP(Таб[[#This Row],[Зелений Тариф ЕЦ]],Sheet6!$H$9:$I$29,2,FALSE),"")</f>
        <v>Земля</v>
      </c>
      <c r="G851" s="1" t="s">
        <v>2109</v>
      </c>
      <c r="H851" t="s">
        <v>233</v>
      </c>
      <c r="J851" s="7">
        <v>1.016</v>
      </c>
      <c r="K851" s="8">
        <v>43775</v>
      </c>
      <c r="L851" s="8">
        <v>43795</v>
      </c>
      <c r="M851">
        <v>11</v>
      </c>
      <c r="N851" s="49" t="s">
        <v>71</v>
      </c>
      <c r="O851">
        <v>2019</v>
      </c>
      <c r="P851">
        <v>0.15029999999999999</v>
      </c>
      <c r="Q851" s="10"/>
      <c r="R851" s="11">
        <f>ROUND(Таб[[#This Row],[Зелений Тариф ЕЦ]]+Таб[[#This Row],[Зелений Тариф ЕЦ]]*Таб[[#This Row],[% надбавки]],4)</f>
        <v>0.15029999999999999</v>
      </c>
      <c r="S851" s="12"/>
      <c r="T851"/>
      <c r="BD8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32.716088970021246</v>
      </c>
      <c r="BE8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56.413666611063029</v>
      </c>
      <c r="BF8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95.174077003698173</v>
      </c>
      <c r="BG8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135.27766993469197</v>
      </c>
      <c r="BH8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166.55463475647178</v>
      </c>
      <c r="BI8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172.69489778896843</v>
      </c>
      <c r="BJ8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175.4772044755685</v>
      </c>
      <c r="BK8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151.68368522464397</v>
      </c>
      <c r="BL8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106.49518696986388</v>
      </c>
      <c r="BM8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68.406367846408045</v>
      </c>
      <c r="BN8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31.660731261310886</v>
      </c>
      <c r="BO8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26.76770915729011</v>
      </c>
      <c r="BP851">
        <f>SUM(Таб[[#This Row],[1]:[12]])</f>
        <v>1219.3219200000001</v>
      </c>
    </row>
    <row r="852" spans="2:68" ht="38.25">
      <c r="B852" t="s">
        <v>384</v>
      </c>
      <c r="C852" t="str">
        <f>IFERROR(VLOOKUP(Таб[[#This Row],[Зелений Тариф ЕЦ]],Sheet6!$H$9:$I$29,2,FALSE),"")</f>
        <v>Земля</v>
      </c>
      <c r="G852" s="1" t="s">
        <v>2111</v>
      </c>
      <c r="H852" t="s">
        <v>62</v>
      </c>
      <c r="J852" s="7">
        <v>2.2989999999999999</v>
      </c>
      <c r="K852" s="8">
        <v>43790</v>
      </c>
      <c r="L852" s="8">
        <v>43795</v>
      </c>
      <c r="M852">
        <v>11</v>
      </c>
      <c r="N852" s="49" t="s">
        <v>71</v>
      </c>
      <c r="O852">
        <v>2019</v>
      </c>
      <c r="P852">
        <v>0.15029999999999999</v>
      </c>
      <c r="Q852" s="10"/>
      <c r="R852" s="11">
        <f>ROUND(Таб[[#This Row],[Зелений Тариф ЕЦ]]+Таб[[#This Row],[Зелений Тариф ЕЦ]]*Таб[[#This Row],[% надбавки]],4)</f>
        <v>0.15029999999999999</v>
      </c>
      <c r="S852" s="12"/>
      <c r="T852"/>
      <c r="BD8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74.029811557164223</v>
      </c>
      <c r="BE8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127.65257828625384</v>
      </c>
      <c r="BF8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215.35945180265952</v>
      </c>
      <c r="BG8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306.10567242111887</v>
      </c>
      <c r="BH8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376.87904065465415</v>
      </c>
      <c r="BI8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390.77319883547091</v>
      </c>
      <c r="BJ8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397.06898926115349</v>
      </c>
      <c r="BK8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343.22912631048865</v>
      </c>
      <c r="BL8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240.9768059485404</v>
      </c>
      <c r="BM8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154.78960598316149</v>
      </c>
      <c r="BN8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71.641753119836352</v>
      </c>
      <c r="BO8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60.569845819497985</v>
      </c>
      <c r="BP852">
        <f>SUM(Таб[[#This Row],[1]:[12]])</f>
        <v>2759.0758799999994</v>
      </c>
    </row>
    <row r="853" spans="2:68" ht="25.5">
      <c r="B853" t="s">
        <v>384</v>
      </c>
      <c r="C853" t="str">
        <f>IFERROR(VLOOKUP(Таб[[#This Row],[Зелений Тариф ЕЦ]],Sheet6!$H$9:$I$29,2,FALSE),"")</f>
        <v>Земля</v>
      </c>
      <c r="G853" s="1" t="s">
        <v>2113</v>
      </c>
      <c r="H853" t="s">
        <v>65</v>
      </c>
      <c r="J853" s="7">
        <v>0.999</v>
      </c>
      <c r="K853" s="8">
        <v>43677</v>
      </c>
      <c r="L853" s="8">
        <v>43795</v>
      </c>
      <c r="M853">
        <v>11</v>
      </c>
      <c r="N853" s="49" t="s">
        <v>71</v>
      </c>
      <c r="O853">
        <v>2019</v>
      </c>
      <c r="P853">
        <v>0.15029999999999999</v>
      </c>
      <c r="Q853" s="10"/>
      <c r="R853" s="11">
        <f>ROUND(Таб[[#This Row],[Зелений Тариф ЕЦ]]+Таб[[#This Row],[Зелений Тариф ЕЦ]]*Таб[[#This Row],[% надбавки]],4)</f>
        <v>0.15029999999999999</v>
      </c>
      <c r="S853" s="12"/>
      <c r="T853"/>
      <c r="BD8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32.16867409552286</v>
      </c>
      <c r="BE8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55.469737150051138</v>
      </c>
      <c r="BF8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93.581597368793766</v>
      </c>
      <c r="BG8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133.01416561491857</v>
      </c>
      <c r="BH8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163.7677953953891</v>
      </c>
      <c r="BI8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169.80531780627902</v>
      </c>
      <c r="BJ8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172.54107014871352</v>
      </c>
      <c r="BK8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149.14567080651506</v>
      </c>
      <c r="BL8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104.71327931387208</v>
      </c>
      <c r="BM8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67.26177310882052</v>
      </c>
      <c r="BN8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31.130974931151155</v>
      </c>
      <c r="BO8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26.319824259973245</v>
      </c>
      <c r="BP853">
        <f>SUM(Таб[[#This Row],[1]:[12]])</f>
        <v>1198.9198800000001</v>
      </c>
    </row>
    <row r="854" spans="2:68" ht="38.25">
      <c r="B854" t="s">
        <v>384</v>
      </c>
      <c r="C854" t="str">
        <f>IFERROR(VLOOKUP(Таб[[#This Row],[Зелений Тариф ЕЦ]],Sheet6!$H$9:$I$29,2,FALSE),"")</f>
        <v>Дах</v>
      </c>
      <c r="G854" s="1" t="s">
        <v>2115</v>
      </c>
      <c r="H854" t="s">
        <v>62</v>
      </c>
      <c r="J854" s="7">
        <v>0.27100000000000002</v>
      </c>
      <c r="K854" s="8">
        <v>43781</v>
      </c>
      <c r="L854" s="8">
        <v>43795</v>
      </c>
      <c r="M854">
        <v>11</v>
      </c>
      <c r="N854" s="49" t="s">
        <v>71</v>
      </c>
      <c r="O854">
        <v>2019</v>
      </c>
      <c r="P854">
        <v>0.16370000000000001</v>
      </c>
      <c r="Q854" s="10"/>
      <c r="R854" s="11">
        <f>ROUND(Таб[[#This Row],[Зелений Тариф ЕЦ]]+Таб[[#This Row],[Зелений Тариф ЕЦ]]*Таб[[#This Row],[% надбавки]],4)</f>
        <v>0.16370000000000001</v>
      </c>
      <c r="S854" s="12"/>
      <c r="T854"/>
      <c r="BD8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8.7264371170036998</v>
      </c>
      <c r="BE8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15.047346113777639</v>
      </c>
      <c r="BF8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25.38599888582894</v>
      </c>
      <c r="BG8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36.082921803446382</v>
      </c>
      <c r="BH8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44.425498050200645</v>
      </c>
      <c r="BI8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46.063304429931556</v>
      </c>
      <c r="BJ8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46.805435445747115</v>
      </c>
      <c r="BK8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40.45893572428988</v>
      </c>
      <c r="BL8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28.405704398457786</v>
      </c>
      <c r="BM8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18.24618669918955</v>
      </c>
      <c r="BN8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8.4449391454874512</v>
      </c>
      <c r="BO8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7.1398121866393893</v>
      </c>
      <c r="BP854">
        <f>SUM(Таб[[#This Row],[1]:[12]])</f>
        <v>325.23252000000002</v>
      </c>
    </row>
    <row r="855" spans="2:68" ht="25.5">
      <c r="B855" t="s">
        <v>384</v>
      </c>
      <c r="C855" t="str">
        <f>IFERROR(VLOOKUP(Таб[[#This Row],[Зелений Тариф ЕЦ]],Sheet6!$H$9:$I$29,2,FALSE),"")</f>
        <v>Дах</v>
      </c>
      <c r="G855" s="1" t="s">
        <v>2118</v>
      </c>
      <c r="H855" t="s">
        <v>98</v>
      </c>
      <c r="J855" s="7">
        <v>0.61899999999999999</v>
      </c>
      <c r="K855" s="8">
        <v>43773</v>
      </c>
      <c r="L855" s="8">
        <v>43795</v>
      </c>
      <c r="M855">
        <v>11</v>
      </c>
      <c r="N855" s="49" t="s">
        <v>71</v>
      </c>
      <c r="O855">
        <v>2019</v>
      </c>
      <c r="P855">
        <v>0.16370000000000001</v>
      </c>
      <c r="Q855" s="10"/>
      <c r="R855" s="11">
        <f>ROUND(Таб[[#This Row],[Зелений Тариф ЕЦ]]+Таб[[#This Row],[Зелений Тариф ЕЦ]]*Таб[[#This Row],[% надбавки]],4)</f>
        <v>0.16370000000000001</v>
      </c>
      <c r="S855" s="12"/>
      <c r="T855"/>
      <c r="BD8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19.932341606735388</v>
      </c>
      <c r="BE8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34.370137433314973</v>
      </c>
      <c r="BF8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57.984993765048394</v>
      </c>
      <c r="BG8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82.418186702336925</v>
      </c>
      <c r="BH8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101.47373908883469</v>
      </c>
      <c r="BI8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105.21470642851524</v>
      </c>
      <c r="BJ8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106.90983225430796</v>
      </c>
      <c r="BK8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92.413583813045875</v>
      </c>
      <c r="BL8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64.882402297584392</v>
      </c>
      <c r="BM8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41.67671426862853</v>
      </c>
      <c r="BN8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19.289362845227792</v>
      </c>
      <c r="BO8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16.308279496419861</v>
      </c>
      <c r="BP855">
        <f>SUM(Таб[[#This Row],[1]:[12]])</f>
        <v>742.87428</v>
      </c>
    </row>
    <row r="856" spans="2:68" ht="38.25">
      <c r="B856" t="s">
        <v>384</v>
      </c>
      <c r="C856" t="str">
        <f>IFERROR(VLOOKUP(Таб[[#This Row],[Зелений Тариф ЕЦ]],Sheet6!$H$9:$I$29,2,FALSE),"")</f>
        <v>Дах</v>
      </c>
      <c r="G856" s="1" t="s">
        <v>2121</v>
      </c>
      <c r="H856" t="s">
        <v>172</v>
      </c>
      <c r="J856" s="7">
        <v>0.27200000000000002</v>
      </c>
      <c r="K856" s="8">
        <v>43774</v>
      </c>
      <c r="L856" s="8">
        <v>43795</v>
      </c>
      <c r="M856">
        <v>11</v>
      </c>
      <c r="N856" s="49" t="s">
        <v>71</v>
      </c>
      <c r="O856">
        <v>2019</v>
      </c>
      <c r="P856">
        <v>0.16370000000000001</v>
      </c>
      <c r="Q856" s="10"/>
      <c r="R856" s="11">
        <f>ROUND(Таб[[#This Row],[Зелений Тариф ЕЦ]]+Таб[[#This Row],[Зелений Тариф ЕЦ]]*Таб[[#This Row],[% надбавки]],4)</f>
        <v>0.16370000000000001</v>
      </c>
      <c r="S856" s="12"/>
      <c r="T856"/>
      <c r="BD8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8.7586379919741937</v>
      </c>
      <c r="BE8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15.102871376190102</v>
      </c>
      <c r="BF8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25.479674158470374</v>
      </c>
      <c r="BG8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36.216069116374229</v>
      </c>
      <c r="BH8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44.589429777323161</v>
      </c>
      <c r="BI8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46.233279723030932</v>
      </c>
      <c r="BJ8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46.978149229679765</v>
      </c>
      <c r="BK8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40.608230690062165</v>
      </c>
      <c r="BL8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28.510522495869075</v>
      </c>
      <c r="BM8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18.313515801400584</v>
      </c>
      <c r="BN8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8.4761012825556712</v>
      </c>
      <c r="BO8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7.1661583570697935</v>
      </c>
      <c r="BP856">
        <f>SUM(Таб[[#This Row],[1]:[12]])</f>
        <v>326.43263999999999</v>
      </c>
    </row>
    <row r="857" spans="2:68" ht="38.25">
      <c r="B857" t="s">
        <v>384</v>
      </c>
      <c r="C857" t="str">
        <f>IFERROR(VLOOKUP(Таб[[#This Row],[Зелений Тариф ЕЦ]],Sheet6!$H$9:$I$29,2,FALSE),"")</f>
        <v>Дах</v>
      </c>
      <c r="G857" s="1" t="s">
        <v>2124</v>
      </c>
      <c r="H857" t="s">
        <v>62</v>
      </c>
      <c r="J857" s="7">
        <v>0.31</v>
      </c>
      <c r="K857" s="8">
        <v>43781</v>
      </c>
      <c r="L857" s="8">
        <v>43795</v>
      </c>
      <c r="M857">
        <v>11</v>
      </c>
      <c r="N857" s="49" t="s">
        <v>71</v>
      </c>
      <c r="O857">
        <v>2019</v>
      </c>
      <c r="P857">
        <v>0.16370000000000001</v>
      </c>
      <c r="Q857" s="10"/>
      <c r="R857" s="11">
        <f>ROUND(Таб[[#This Row],[Зелений Тариф ЕЦ]]+Таб[[#This Row],[Зелений Тариф ЕЦ]]*Таб[[#This Row],[% надбавки]],4)</f>
        <v>0.16370000000000001</v>
      </c>
      <c r="S857" s="12"/>
      <c r="T857"/>
      <c r="BD8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9.9822712408529402</v>
      </c>
      <c r="BE8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17.21283134786372</v>
      </c>
      <c r="BF8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29.03933451884491</v>
      </c>
      <c r="BG8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41.275667007632386</v>
      </c>
      <c r="BH8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50.818835407978597</v>
      </c>
      <c r="BI8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52.692340860807306</v>
      </c>
      <c r="BJ8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53.541273019120311</v>
      </c>
      <c r="BK8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46.281439389409087</v>
      </c>
      <c r="BL8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32.493610197497844</v>
      </c>
      <c r="BM8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20.872021685419778</v>
      </c>
      <c r="BN8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9.6602624911480071</v>
      </c>
      <c r="BO8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8.1673128334251324</v>
      </c>
      <c r="BP857">
        <f>SUM(Таб[[#This Row],[1]:[12]])</f>
        <v>372.03719999999993</v>
      </c>
    </row>
    <row r="858" spans="2:68" ht="38.25">
      <c r="B858" t="s">
        <v>384</v>
      </c>
      <c r="C858" t="str">
        <f>IFERROR(VLOOKUP(Таб[[#This Row],[Зелений Тариф ЕЦ]],Sheet6!$H$9:$I$29,2,FALSE),"")</f>
        <v>Дах</v>
      </c>
      <c r="G858" s="1" t="s">
        <v>2127</v>
      </c>
      <c r="H858" t="s">
        <v>62</v>
      </c>
      <c r="J858" s="7">
        <v>1.661</v>
      </c>
      <c r="K858" s="8">
        <v>43748</v>
      </c>
      <c r="L858" s="8">
        <v>43795</v>
      </c>
      <c r="M858">
        <v>11</v>
      </c>
      <c r="N858" s="49" t="s">
        <v>71</v>
      </c>
      <c r="O858">
        <v>2019</v>
      </c>
      <c r="P858">
        <v>0.16370000000000001</v>
      </c>
      <c r="Q858" s="10"/>
      <c r="R858" s="11">
        <f>ROUND(Таб[[#This Row],[Зелений Тариф ЕЦ]]+Таб[[#This Row],[Зелений Тариф ЕЦ]]*Таб[[#This Row],[% надбавки]],4)</f>
        <v>0.16370000000000001</v>
      </c>
      <c r="S858" s="12"/>
      <c r="T858"/>
      <c r="BD8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53.485653325989468</v>
      </c>
      <c r="BE8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92.227460867102053</v>
      </c>
      <c r="BF8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155.59462785742389</v>
      </c>
      <c r="BG8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221.15768677315288</v>
      </c>
      <c r="BH8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272.29059875049177</v>
      </c>
      <c r="BI8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282.32896183806758</v>
      </c>
      <c r="BJ8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286.87759511212528</v>
      </c>
      <c r="BK8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247.97893814776933</v>
      </c>
      <c r="BL8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174.10285980014166</v>
      </c>
      <c r="BM8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111.83363877252339</v>
      </c>
      <c r="BN8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51.760309670312381</v>
      </c>
      <c r="BO8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43.760989084900466</v>
      </c>
      <c r="BP858">
        <f>SUM(Таб[[#This Row],[1]:[12]])</f>
        <v>1993.3993200000002</v>
      </c>
    </row>
    <row r="859" spans="2:68" ht="89.25">
      <c r="B859" t="s">
        <v>384</v>
      </c>
      <c r="C859" t="str">
        <f>IFERROR(VLOOKUP(Таб[[#This Row],[Зелений Тариф ЕЦ]],Sheet6!$H$9:$I$29,2,FALSE),"")</f>
        <v>Земля</v>
      </c>
      <c r="D859" t="s">
        <v>3427</v>
      </c>
      <c r="F859" t="s">
        <v>3287</v>
      </c>
      <c r="G859" s="1" t="s">
        <v>2129</v>
      </c>
      <c r="H859" t="s">
        <v>98</v>
      </c>
      <c r="J859" s="7">
        <v>10.122</v>
      </c>
      <c r="K859" s="8">
        <v>43768</v>
      </c>
      <c r="L859" s="8">
        <v>43795</v>
      </c>
      <c r="M859">
        <v>11</v>
      </c>
      <c r="N859" s="49" t="s">
        <v>71</v>
      </c>
      <c r="O859">
        <v>2019</v>
      </c>
      <c r="P859">
        <v>0.15029999999999999</v>
      </c>
      <c r="Q859" s="10"/>
      <c r="R859" s="11">
        <f>ROUND(Таб[[#This Row],[Зелений Тариф ЕЦ]]+Таб[[#This Row],[Зелений Тариф ЕЦ]]*Таб[[#This Row],[% надбавки]],4)</f>
        <v>0.15029999999999999</v>
      </c>
      <c r="S859" s="12"/>
      <c r="T859"/>
      <c r="BD8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325.93725645133372</v>
      </c>
      <c r="BE8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562.02670613895657</v>
      </c>
      <c r="BF8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948.18110967660709</v>
      </c>
      <c r="BG8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1347.7171014556613</v>
      </c>
      <c r="BH8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1659.3169419340625</v>
      </c>
      <c r="BI8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1720.4899167519084</v>
      </c>
      <c r="BJ8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1748.2089209662445</v>
      </c>
      <c r="BK8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1511.1636435470925</v>
      </c>
      <c r="BL8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1060.96878199701</v>
      </c>
      <c r="BM8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681.5051725800613</v>
      </c>
      <c r="BN8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315.42315140451655</v>
      </c>
      <c r="BO8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266.67593709654579</v>
      </c>
      <c r="BP859">
        <f>SUM(Таб[[#This Row],[1]:[12]])</f>
        <v>12147.614640000002</v>
      </c>
    </row>
    <row r="860" spans="2:68" ht="51">
      <c r="B860" t="s">
        <v>384</v>
      </c>
      <c r="C860" t="str">
        <f>IFERROR(VLOOKUP(Таб[[#This Row],[Зелений Тариф ЕЦ]],Sheet6!$H$9:$I$29,2,FALSE),"")</f>
        <v>Земля</v>
      </c>
      <c r="G860" s="1" t="s">
        <v>2132</v>
      </c>
      <c r="H860" t="s">
        <v>122</v>
      </c>
      <c r="J860" s="7">
        <v>4.32</v>
      </c>
      <c r="K860" s="8">
        <v>43773</v>
      </c>
      <c r="L860" s="8">
        <v>43795</v>
      </c>
      <c r="M860">
        <v>11</v>
      </c>
      <c r="N860" s="49" t="s">
        <v>71</v>
      </c>
      <c r="O860">
        <v>2019</v>
      </c>
      <c r="P860">
        <v>0.15029999999999999</v>
      </c>
      <c r="Q860" s="10"/>
      <c r="R860" s="11">
        <f>ROUND(Таб[[#This Row],[Зелений Тариф ЕЦ]]+Таб[[#This Row],[Зелений Тариф ЕЦ]]*Таб[[#This Row],[% надбавки]],4)</f>
        <v>0.15029999999999999</v>
      </c>
      <c r="S860" s="12"/>
      <c r="T860"/>
      <c r="BD8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139.1077798725313</v>
      </c>
      <c r="BE8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239.86913362184282</v>
      </c>
      <c r="BF8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404.67717781100009</v>
      </c>
      <c r="BG8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575.19639184829646</v>
      </c>
      <c r="BH8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708.18506116925016</v>
      </c>
      <c r="BI8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734.29326618931475</v>
      </c>
      <c r="BJ8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746.12354658903143</v>
      </c>
      <c r="BK8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644.95425213628141</v>
      </c>
      <c r="BL8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452.81418081674411</v>
      </c>
      <c r="BM8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290.86172155165627</v>
      </c>
      <c r="BN8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134.6204321347077</v>
      </c>
      <c r="BO8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113.81545625934378</v>
      </c>
      <c r="BP860">
        <f>SUM(Таб[[#This Row],[1]:[12]])</f>
        <v>5184.5183999999999</v>
      </c>
    </row>
    <row r="861" spans="2:68" ht="38.25">
      <c r="B861" t="s">
        <v>384</v>
      </c>
      <c r="C861" t="str">
        <f>IFERROR(VLOOKUP(Таб[[#This Row],[Зелений Тариф ЕЦ]],Sheet6!$H$9:$I$29,2,FALSE),"")</f>
        <v>Дах</v>
      </c>
      <c r="G861" s="1" t="s">
        <v>2008</v>
      </c>
      <c r="H861" t="s">
        <v>73</v>
      </c>
      <c r="J861" s="7">
        <v>0.215</v>
      </c>
      <c r="K861" s="8">
        <v>43740</v>
      </c>
      <c r="L861" s="8">
        <v>43795</v>
      </c>
      <c r="M861">
        <v>11</v>
      </c>
      <c r="N861" s="49" t="s">
        <v>71</v>
      </c>
      <c r="O861">
        <v>2019</v>
      </c>
      <c r="P861">
        <v>0.16370000000000001</v>
      </c>
      <c r="Q861" s="10"/>
      <c r="R861" s="11">
        <f>ROUND(Таб[[#This Row],[Зелений Тариф ЕЦ]]+Таб[[#This Row],[Зелений Тариф ЕЦ]]*Таб[[#This Row],[% надбавки]],4)</f>
        <v>0.16370000000000001</v>
      </c>
      <c r="S861" s="12"/>
      <c r="T861"/>
      <c r="BD8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6.9231881186560722</v>
      </c>
      <c r="BE8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11.937931418679677</v>
      </c>
      <c r="BF8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20.140183617908569</v>
      </c>
      <c r="BG8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28.626672279486982</v>
      </c>
      <c r="BH8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35.245321331339994</v>
      </c>
      <c r="BI8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36.544688016366351</v>
      </c>
      <c r="BJ8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37.133463545518921</v>
      </c>
      <c r="BK8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32.098417641041785</v>
      </c>
      <c r="BL8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22.535890943425919</v>
      </c>
      <c r="BM8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14.475756975371784</v>
      </c>
      <c r="BN8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6.6998594696671674</v>
      </c>
      <c r="BO8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5.6644266425367853</v>
      </c>
      <c r="BP861">
        <f>SUM(Таб[[#This Row],[1]:[12]])</f>
        <v>258.0258</v>
      </c>
    </row>
    <row r="862" spans="2:68" ht="63.75">
      <c r="B862" t="s">
        <v>384</v>
      </c>
      <c r="C862" t="str">
        <f>IFERROR(VLOOKUP(Таб[[#This Row],[Зелений Тариф ЕЦ]],Sheet6!$H$9:$I$29,2,FALSE),"")</f>
        <v>Земля</v>
      </c>
      <c r="E862" t="s">
        <v>3428</v>
      </c>
      <c r="F862" t="s">
        <v>3429</v>
      </c>
      <c r="G862" s="1" t="s">
        <v>2136</v>
      </c>
      <c r="H862" t="s">
        <v>122</v>
      </c>
      <c r="J862" s="7">
        <v>10.496</v>
      </c>
      <c r="K862" s="8">
        <v>43784</v>
      </c>
      <c r="L862" s="8">
        <v>43798</v>
      </c>
      <c r="M862">
        <v>11</v>
      </c>
      <c r="N862" s="49" t="s">
        <v>71</v>
      </c>
      <c r="O862">
        <v>2019</v>
      </c>
      <c r="P862">
        <v>0.15029999999999999</v>
      </c>
      <c r="Q862" s="10"/>
      <c r="R862" s="11">
        <f>ROUND(Таб[[#This Row],[Зелений Тариф ЕЦ]]+Таб[[#This Row],[Зелений Тариф ЕЦ]]*Таб[[#This Row],[% надбавки]],4)</f>
        <v>0.15029999999999999</v>
      </c>
      <c r="S862" s="12"/>
      <c r="T862"/>
      <c r="BD8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337.98038369029831</v>
      </c>
      <c r="BE8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582.79315428121799</v>
      </c>
      <c r="BF8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983.21566164450383</v>
      </c>
      <c r="BG8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1397.5141964906759</v>
      </c>
      <c r="BH8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1720.627407877882</v>
      </c>
      <c r="BI8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1784.0606763710757</v>
      </c>
      <c r="BJ8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1812.803876157054</v>
      </c>
      <c r="BK8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1566.9999607459281</v>
      </c>
      <c r="BL8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1100.1707504288302</v>
      </c>
      <c r="BM8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706.68625680698722</v>
      </c>
      <c r="BN8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327.07779066803062</v>
      </c>
      <c r="BO8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276.52940483751672</v>
      </c>
      <c r="BP862">
        <f>SUM(Таб[[#This Row],[1]:[12]])</f>
        <v>12596.459519999999</v>
      </c>
    </row>
    <row r="863" spans="2:68" ht="38.25">
      <c r="B863" t="s">
        <v>384</v>
      </c>
      <c r="C863" t="str">
        <f>IFERROR(VLOOKUP(Таб[[#This Row],[Зелений Тариф ЕЦ]],Sheet6!$H$9:$I$29,2,FALSE),"")</f>
        <v>Земля</v>
      </c>
      <c r="D863" t="s">
        <v>3430</v>
      </c>
      <c r="F863" t="s">
        <v>3287</v>
      </c>
      <c r="G863" s="1" t="s">
        <v>2138</v>
      </c>
      <c r="H863" t="s">
        <v>73</v>
      </c>
      <c r="J863" s="7">
        <v>12.973000000000001</v>
      </c>
      <c r="K863" s="8">
        <v>43780</v>
      </c>
      <c r="L863" s="8">
        <v>43798</v>
      </c>
      <c r="M863">
        <v>11</v>
      </c>
      <c r="N863" s="49" t="s">
        <v>71</v>
      </c>
      <c r="O863">
        <v>2019</v>
      </c>
      <c r="P863">
        <v>0.15029999999999999</v>
      </c>
      <c r="Q863" s="10"/>
      <c r="R863" s="11">
        <f>ROUND(Таб[[#This Row],[Зелений Тариф ЕЦ]]+Таб[[#This Row],[Зелений Тариф ЕЦ]]*Таб[[#This Row],[% надбавки]],4)</f>
        <v>0.15029999999999999</v>
      </c>
      <c r="S863" s="12"/>
      <c r="T863"/>
      <c r="BD8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417.74195099221038</v>
      </c>
      <c r="BE8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720.32922927689037</v>
      </c>
      <c r="BF8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1215.2493119773389</v>
      </c>
      <c r="BG8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1727.3200906129516</v>
      </c>
      <c r="BH8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2126.6862959603432</v>
      </c>
      <c r="BI8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2205.0894773782361</v>
      </c>
      <c r="BJ8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2240.6159189582186</v>
      </c>
      <c r="BK8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1936.8035909638843</v>
      </c>
      <c r="BL8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1359.8051777165788</v>
      </c>
      <c r="BM8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873.46044298371226</v>
      </c>
      <c r="BN8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404.26640418600999</v>
      </c>
      <c r="BO8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341.78886899362664</v>
      </c>
      <c r="BP863">
        <f>SUM(Таб[[#This Row],[1]:[12]])</f>
        <v>15569.156760000002</v>
      </c>
    </row>
    <row r="864" spans="2:68" ht="51">
      <c r="B864" t="s">
        <v>384</v>
      </c>
      <c r="C864" t="str">
        <f>IFERROR(VLOOKUP(Таб[[#This Row],[Зелений Тариф ЕЦ]],Sheet6!$H$9:$I$29,2,FALSE),"")</f>
        <v>Земля</v>
      </c>
      <c r="D864" t="s">
        <v>3389</v>
      </c>
      <c r="F864" t="s">
        <v>3287</v>
      </c>
      <c r="G864" s="1" t="s">
        <v>2141</v>
      </c>
      <c r="H864" t="s">
        <v>122</v>
      </c>
      <c r="J864" s="7">
        <v>20.236000000000001</v>
      </c>
      <c r="K864" s="8">
        <v>43726</v>
      </c>
      <c r="L864" s="8">
        <v>43798</v>
      </c>
      <c r="M864">
        <v>11</v>
      </c>
      <c r="N864" s="49" t="s">
        <v>71</v>
      </c>
      <c r="O864">
        <v>2019</v>
      </c>
      <c r="P864">
        <v>0.15029999999999999</v>
      </c>
      <c r="Q864" s="10"/>
      <c r="R864" s="11">
        <f>ROUND(Таб[[#This Row],[Зелений Тариф ЕЦ]]+Таб[[#This Row],[Зелений Тариф ЕЦ]]*Таб[[#This Row],[% надбавки]],4)</f>
        <v>0.15029999999999999</v>
      </c>
      <c r="S864" s="12"/>
      <c r="T864"/>
      <c r="BD8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651.61690590290357</v>
      </c>
      <c r="BE8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1123.6092101786137</v>
      </c>
      <c r="BF8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1895.6128171720829</v>
      </c>
      <c r="BG8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2694.3690244078998</v>
      </c>
      <c r="BH8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3317.3224300511447</v>
      </c>
      <c r="BI8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3439.620031159021</v>
      </c>
      <c r="BJ8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3495.0361316610279</v>
      </c>
      <c r="BK8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3021.1329273680071</v>
      </c>
      <c r="BL8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2121.0990192147301</v>
      </c>
      <c r="BM8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1362.4717123424346</v>
      </c>
      <c r="BN8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630.59700571248732</v>
      </c>
      <c r="BO8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533.14110482964827</v>
      </c>
      <c r="BP864">
        <f>SUM(Таб[[#This Row],[1]:[12]])</f>
        <v>24285.628319999996</v>
      </c>
    </row>
    <row r="865" spans="2:68" ht="63.75">
      <c r="B865" t="s">
        <v>384</v>
      </c>
      <c r="C865" t="str">
        <f>IFERROR(VLOOKUP(Таб[[#This Row],[Зелений Тариф ЕЦ]],Sheet6!$H$9:$I$29,2,FALSE),"")</f>
        <v>Земля</v>
      </c>
      <c r="G865" s="1" t="s">
        <v>2144</v>
      </c>
      <c r="H865" t="s">
        <v>65</v>
      </c>
      <c r="I865" t="s">
        <v>247</v>
      </c>
      <c r="J865" s="7">
        <v>1.742</v>
      </c>
      <c r="K865" s="8">
        <v>43749</v>
      </c>
      <c r="L865" s="8">
        <v>43798</v>
      </c>
      <c r="M865">
        <v>11</v>
      </c>
      <c r="N865" s="49" t="s">
        <v>71</v>
      </c>
      <c r="O865">
        <v>2019</v>
      </c>
      <c r="P865">
        <v>0.15029999999999999</v>
      </c>
      <c r="Q865" s="10"/>
      <c r="R865" s="11">
        <f>ROUND(Таб[[#This Row],[Зелений Тариф ЕЦ]]+Таб[[#This Row],[Зелений Тариф ЕЦ]]*Таб[[#This Row],[% надбавки]],4)</f>
        <v>0.15029999999999999</v>
      </c>
      <c r="S865" s="12"/>
      <c r="T865"/>
      <c r="BD8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56.093924198599424</v>
      </c>
      <c r="BE8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96.725007122511613</v>
      </c>
      <c r="BF8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163.1823249413801</v>
      </c>
      <c r="BG8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231.94261912030845</v>
      </c>
      <c r="BH8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285.56906864741524</v>
      </c>
      <c r="BI8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296.09696057911719</v>
      </c>
      <c r="BJ8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300.86741161066959</v>
      </c>
      <c r="BK8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260.07183037532457</v>
      </c>
      <c r="BL8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182.59312569045559</v>
      </c>
      <c r="BM8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117.28729605161695</v>
      </c>
      <c r="BN8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54.284442772838155</v>
      </c>
      <c r="BO8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45.895028889763168</v>
      </c>
      <c r="BP865">
        <f>SUM(Таб[[#This Row],[1]:[12]])</f>
        <v>2090.6090400000003</v>
      </c>
    </row>
    <row r="866" spans="2:68" ht="63.75">
      <c r="B866" t="s">
        <v>384</v>
      </c>
      <c r="C866" t="str">
        <f>IFERROR(VLOOKUP(Таб[[#This Row],[Зелений Тариф ЕЦ]],Sheet6!$H$9:$I$29,2,FALSE),"")</f>
        <v>Земля</v>
      </c>
      <c r="G866" s="1" t="s">
        <v>2146</v>
      </c>
      <c r="H866" t="s">
        <v>65</v>
      </c>
      <c r="I866" t="s">
        <v>247</v>
      </c>
      <c r="J866" s="7">
        <v>2.6619999999999999</v>
      </c>
      <c r="K866" s="8">
        <v>43749</v>
      </c>
      <c r="L866" s="8">
        <v>43798</v>
      </c>
      <c r="M866">
        <v>11</v>
      </c>
      <c r="N866" s="49" t="s">
        <v>71</v>
      </c>
      <c r="O866">
        <v>2019</v>
      </c>
      <c r="P866">
        <v>0.15029999999999999</v>
      </c>
      <c r="Q866" s="10"/>
      <c r="R866" s="11">
        <f>ROUND(Таб[[#This Row],[Зелений Тариф ЕЦ]]+Таб[[#This Row],[Зелений Тариф ЕЦ]]*Таб[[#This Row],[% надбавки]],4)</f>
        <v>0.15029999999999999</v>
      </c>
      <c r="S866" s="12"/>
      <c r="T866"/>
      <c r="BD8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85.718729171453305</v>
      </c>
      <c r="BE8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147.80824854197812</v>
      </c>
      <c r="BF8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249.36357577150051</v>
      </c>
      <c r="BG8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354.43814701392716</v>
      </c>
      <c r="BH8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436.38625760012587</v>
      </c>
      <c r="BI8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452.47423023054523</v>
      </c>
      <c r="BJ8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459.76409282870407</v>
      </c>
      <c r="BK8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397.42319888582898</v>
      </c>
      <c r="BL8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279.02577530883627</v>
      </c>
      <c r="BM8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179.23007008576596</v>
      </c>
      <c r="BN8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82.953608875599969</v>
      </c>
      <c r="BO8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70.133505685734519</v>
      </c>
      <c r="BP866">
        <f>SUM(Таб[[#This Row],[1]:[12]])</f>
        <v>3194.7194400000003</v>
      </c>
    </row>
    <row r="867" spans="2:68" ht="51">
      <c r="B867" t="s">
        <v>384</v>
      </c>
      <c r="C867" t="str">
        <f>IFERROR(VLOOKUP(Таб[[#This Row],[Зелений Тариф ЕЦ]],Sheet6!$H$9:$I$29,2,FALSE),"")</f>
        <v>Земля</v>
      </c>
      <c r="G867" s="1" t="s">
        <v>2148</v>
      </c>
      <c r="H867" t="s">
        <v>172</v>
      </c>
      <c r="J867" s="7">
        <v>0.98599999999999999</v>
      </c>
      <c r="K867" s="8">
        <v>43781</v>
      </c>
      <c r="L867" s="8">
        <v>43798</v>
      </c>
      <c r="M867">
        <v>11</v>
      </c>
      <c r="N867" s="49" t="s">
        <v>71</v>
      </c>
      <c r="O867">
        <v>2019</v>
      </c>
      <c r="P867">
        <v>0.15029999999999999</v>
      </c>
      <c r="Q867" s="10"/>
      <c r="R867" s="11">
        <f>ROUND(Таб[[#This Row],[Зелений Тариф ЕЦ]]+Таб[[#This Row],[Зелений Тариф ЕЦ]]*Таб[[#This Row],[% надбавки]],4)</f>
        <v>0.15029999999999999</v>
      </c>
      <c r="S867" s="12"/>
      <c r="T867"/>
      <c r="BD8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31.750062720906449</v>
      </c>
      <c r="BE8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54.747908738689119</v>
      </c>
      <c r="BF8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92.363818824455109</v>
      </c>
      <c r="BG8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131.28325054685655</v>
      </c>
      <c r="BH8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161.63668294279643</v>
      </c>
      <c r="BI8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167.59563899598709</v>
      </c>
      <c r="BJ8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170.29579095758911</v>
      </c>
      <c r="BK8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147.20483625147534</v>
      </c>
      <c r="BL8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103.35064404752538</v>
      </c>
      <c r="BM8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66.386494780077101</v>
      </c>
      <c r="BN8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30.725867149264303</v>
      </c>
      <c r="BO8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25.977324044378001</v>
      </c>
      <c r="BP867">
        <f>SUM(Таб[[#This Row],[1]:[12]])</f>
        <v>1183.3183200000001</v>
      </c>
    </row>
    <row r="868" spans="2:68" ht="38.25">
      <c r="B868" t="s">
        <v>384</v>
      </c>
      <c r="C868" t="str">
        <f>IFERROR(VLOOKUP(Таб[[#This Row],[Зелений Тариф ЕЦ]],Sheet6!$H$9:$I$29,2,FALSE),"")</f>
        <v>Земля</v>
      </c>
      <c r="G868" s="1" t="s">
        <v>2150</v>
      </c>
      <c r="H868" t="s">
        <v>233</v>
      </c>
      <c r="J868" s="7">
        <v>1.016</v>
      </c>
      <c r="K868" s="8">
        <v>43783</v>
      </c>
      <c r="L868" s="8">
        <v>43798</v>
      </c>
      <c r="M868">
        <v>11</v>
      </c>
      <c r="N868" s="49" t="s">
        <v>71</v>
      </c>
      <c r="O868">
        <v>2019</v>
      </c>
      <c r="P868">
        <v>0.15029999999999999</v>
      </c>
      <c r="Q868" s="10"/>
      <c r="R868" s="11">
        <f>ROUND(Таб[[#This Row],[Зелений Тариф ЕЦ]]+Таб[[#This Row],[Зелений Тариф ЕЦ]]*Таб[[#This Row],[% надбавки]],4)</f>
        <v>0.15029999999999999</v>
      </c>
      <c r="S868" s="12"/>
      <c r="T868"/>
      <c r="BD8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32.716088970021246</v>
      </c>
      <c r="BE8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56.413666611063029</v>
      </c>
      <c r="BF8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95.174077003698173</v>
      </c>
      <c r="BG8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135.27766993469197</v>
      </c>
      <c r="BH8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166.55463475647178</v>
      </c>
      <c r="BI8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172.69489778896843</v>
      </c>
      <c r="BJ8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175.4772044755685</v>
      </c>
      <c r="BK8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151.68368522464397</v>
      </c>
      <c r="BL8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106.49518696986388</v>
      </c>
      <c r="BM8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68.406367846408045</v>
      </c>
      <c r="BN8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31.660731261310886</v>
      </c>
      <c r="BO8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26.76770915729011</v>
      </c>
      <c r="BP868">
        <f>SUM(Таб[[#This Row],[1]:[12]])</f>
        <v>1219.3219200000001</v>
      </c>
    </row>
    <row r="869" spans="2:68" ht="38.25">
      <c r="B869" t="s">
        <v>384</v>
      </c>
      <c r="C869" t="str">
        <f>IFERROR(VLOOKUP(Таб[[#This Row],[Зелений Тариф ЕЦ]],Sheet6!$H$9:$I$29,2,FALSE),"")</f>
        <v>Земля</v>
      </c>
      <c r="G869" s="1" t="s">
        <v>2152</v>
      </c>
      <c r="H869" t="s">
        <v>122</v>
      </c>
      <c r="J869" s="7">
        <v>8.1959999999999997</v>
      </c>
      <c r="K869" s="8">
        <v>43751</v>
      </c>
      <c r="L869" s="8">
        <v>43798</v>
      </c>
      <c r="M869">
        <v>11</v>
      </c>
      <c r="N869" s="49" t="s">
        <v>71</v>
      </c>
      <c r="O869">
        <v>2019</v>
      </c>
      <c r="P869">
        <v>0.15029999999999999</v>
      </c>
      <c r="Q869" s="10"/>
      <c r="R869" s="11">
        <f>ROUND(Таб[[#This Row],[Зелений Тариф ЕЦ]]+Таб[[#This Row],[Зелений Тариф ЕЦ]]*Таб[[#This Row],[% надбавки]],4)</f>
        <v>0.15029999999999999</v>
      </c>
      <c r="S869" s="12"/>
      <c r="T869"/>
      <c r="BD8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263.91837125816357</v>
      </c>
      <c r="BE8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455.08505073255179</v>
      </c>
      <c r="BF8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767.7625345692029</v>
      </c>
      <c r="BG8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1091.2753767566292</v>
      </c>
      <c r="BH8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1343.584435496105</v>
      </c>
      <c r="BI8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1393.1175022425052</v>
      </c>
      <c r="BJ8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1415.5621731119677</v>
      </c>
      <c r="BK8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1223.6215394696671</v>
      </c>
      <c r="BL8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859.08912638287848</v>
      </c>
      <c r="BM8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551.82932172161452</v>
      </c>
      <c r="BN8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255.404875411126</v>
      </c>
      <c r="BO8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215.93321284758832</v>
      </c>
      <c r="BP869">
        <f>SUM(Таб[[#This Row],[1]:[12]])</f>
        <v>9836.1835200000005</v>
      </c>
    </row>
    <row r="870" spans="2:68" ht="38.25">
      <c r="B870" t="s">
        <v>384</v>
      </c>
      <c r="C870" t="str">
        <f>IFERROR(VLOOKUP(Таб[[#This Row],[Зелений Тариф ЕЦ]],Sheet6!$H$9:$I$29,2,FALSE),"")</f>
        <v>Земля</v>
      </c>
      <c r="G870" s="1" t="s">
        <v>2154</v>
      </c>
      <c r="H870" t="s">
        <v>233</v>
      </c>
      <c r="J870" s="7">
        <v>1.016</v>
      </c>
      <c r="K870" s="8">
        <v>43752</v>
      </c>
      <c r="L870" s="8">
        <v>43798</v>
      </c>
      <c r="M870">
        <v>11</v>
      </c>
      <c r="N870" s="49" t="s">
        <v>71</v>
      </c>
      <c r="O870">
        <v>2019</v>
      </c>
      <c r="P870">
        <v>0.15029999999999999</v>
      </c>
      <c r="Q870" s="10"/>
      <c r="R870" s="11">
        <f>ROUND(Таб[[#This Row],[Зелений Тариф ЕЦ]]+Таб[[#This Row],[Зелений Тариф ЕЦ]]*Таб[[#This Row],[% надбавки]],4)</f>
        <v>0.15029999999999999</v>
      </c>
      <c r="S870" s="12"/>
      <c r="T870"/>
      <c r="BD8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32.716088970021246</v>
      </c>
      <c r="BE8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56.413666611063029</v>
      </c>
      <c r="BF8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95.174077003698173</v>
      </c>
      <c r="BG8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135.27766993469197</v>
      </c>
      <c r="BH8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166.55463475647178</v>
      </c>
      <c r="BI8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172.69489778896843</v>
      </c>
      <c r="BJ8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175.4772044755685</v>
      </c>
      <c r="BK8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151.68368522464397</v>
      </c>
      <c r="BL8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106.49518696986388</v>
      </c>
      <c r="BM8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68.406367846408045</v>
      </c>
      <c r="BN8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31.660731261310886</v>
      </c>
      <c r="BO8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26.76770915729011</v>
      </c>
      <c r="BP870">
        <f>SUM(Таб[[#This Row],[1]:[12]])</f>
        <v>1219.3219200000001</v>
      </c>
    </row>
    <row r="871" spans="2:68" ht="51">
      <c r="B871" t="s">
        <v>384</v>
      </c>
      <c r="C871" t="str">
        <f>IFERROR(VLOOKUP(Таб[[#This Row],[Зелений Тариф ЕЦ]],Sheet6!$H$9:$I$29,2,FALSE),"")</f>
        <v>Земля</v>
      </c>
      <c r="G871" s="1" t="s">
        <v>2156</v>
      </c>
      <c r="H871" t="s">
        <v>69</v>
      </c>
      <c r="J871" s="7">
        <v>0.63</v>
      </c>
      <c r="K871" s="8">
        <v>43760</v>
      </c>
      <c r="L871" s="8">
        <v>43798</v>
      </c>
      <c r="M871">
        <v>11</v>
      </c>
      <c r="N871" s="49" t="s">
        <v>71</v>
      </c>
      <c r="O871">
        <v>2019</v>
      </c>
      <c r="P871">
        <v>0.15029999999999999</v>
      </c>
      <c r="Q871" s="10"/>
      <c r="R871" s="11">
        <f>ROUND(Таб[[#This Row],[Зелений Тариф ЕЦ]]+Таб[[#This Row],[Зелений Тариф ЕЦ]]*Таб[[#This Row],[% надбавки]],4)</f>
        <v>0.15029999999999999</v>
      </c>
      <c r="S871" s="12"/>
      <c r="T871"/>
      <c r="BD8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20.286551231410815</v>
      </c>
      <c r="BE8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34.980915319852073</v>
      </c>
      <c r="BF8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59.015421764104175</v>
      </c>
      <c r="BG8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83.882807144543236</v>
      </c>
      <c r="BH8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103.2769880871823</v>
      </c>
      <c r="BI8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107.08443465260839</v>
      </c>
      <c r="BJ8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108.80968387756707</v>
      </c>
      <c r="BK8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94.055828436541049</v>
      </c>
      <c r="BL8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66.035401369108513</v>
      </c>
      <c r="BM8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42.417334392949876</v>
      </c>
      <c r="BN8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19.632146352978207</v>
      </c>
      <c r="BO8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16.5980873711543</v>
      </c>
      <c r="BP871">
        <f>SUM(Таб[[#This Row],[1]:[12]])</f>
        <v>756.07560000000001</v>
      </c>
    </row>
    <row r="872" spans="2:68" ht="51">
      <c r="B872" t="s">
        <v>384</v>
      </c>
      <c r="C872" t="str">
        <f>IFERROR(VLOOKUP(Таб[[#This Row],[Зелений Тариф ЕЦ]],Sheet6!$H$9:$I$29,2,FALSE),"")</f>
        <v>Земля</v>
      </c>
      <c r="G872" s="1" t="s">
        <v>2158</v>
      </c>
      <c r="H872" t="s">
        <v>62</v>
      </c>
      <c r="J872" s="7">
        <v>2.8420000000000001</v>
      </c>
      <c r="K872" s="8">
        <v>43759</v>
      </c>
      <c r="L872" s="8">
        <v>43798</v>
      </c>
      <c r="M872">
        <v>11</v>
      </c>
      <c r="N872" s="49" t="s">
        <v>71</v>
      </c>
      <c r="O872">
        <v>2019</v>
      </c>
      <c r="P872">
        <v>0.15029999999999999</v>
      </c>
      <c r="Q872" s="10"/>
      <c r="R872" s="11">
        <f>ROUND(Таб[[#This Row],[Зелений Тариф ЕЦ]]+Таб[[#This Row],[Зелений Тариф ЕЦ]]*Таб[[#This Row],[% надбавки]],4)</f>
        <v>0.15029999999999999</v>
      </c>
      <c r="S872" s="12"/>
      <c r="T872"/>
      <c r="BD8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91.514886666142118</v>
      </c>
      <c r="BE8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157.80279577622159</v>
      </c>
      <c r="BF8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266.22512484695881</v>
      </c>
      <c r="BG8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378.40466334093946</v>
      </c>
      <c r="BH8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465.89396848217797</v>
      </c>
      <c r="BI8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483.06978298843353</v>
      </c>
      <c r="BJ8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490.85257393658031</v>
      </c>
      <c r="BK8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424.29629272484073</v>
      </c>
      <c r="BL8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297.89303284286729</v>
      </c>
      <c r="BM8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191.34930848375166</v>
      </c>
      <c r="BN8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88.562793547879465</v>
      </c>
      <c r="BO8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74.875816363207178</v>
      </c>
      <c r="BP872">
        <f>SUM(Таб[[#This Row],[1]:[12]])</f>
        <v>3410.7410400000008</v>
      </c>
    </row>
    <row r="873" spans="2:68" ht="76.5">
      <c r="B873" t="s">
        <v>384</v>
      </c>
      <c r="C873" t="str">
        <f>IFERROR(VLOOKUP(Таб[[#This Row],[Зелений Тариф ЕЦ]],Sheet6!$H$9:$I$29,2,FALSE),"")</f>
        <v>Земля</v>
      </c>
      <c r="G873" s="1" t="s">
        <v>2160</v>
      </c>
      <c r="H873" t="s">
        <v>101</v>
      </c>
      <c r="J873" s="7">
        <v>4.1040000000000001</v>
      </c>
      <c r="K873" s="8">
        <v>43732</v>
      </c>
      <c r="L873" s="8">
        <v>43802</v>
      </c>
      <c r="M873">
        <v>12</v>
      </c>
      <c r="N873" s="49" t="s">
        <v>71</v>
      </c>
      <c r="O873">
        <v>2019</v>
      </c>
      <c r="P873">
        <v>0.15029999999999999</v>
      </c>
      <c r="Q873" s="10"/>
      <c r="R873" s="11">
        <f>ROUND(Таб[[#This Row],[Зелений Тариф ЕЦ]]+Таб[[#This Row],[Зелений Тариф ЕЦ]]*Таб[[#This Row],[% надбавки]],4)</f>
        <v>0.15029999999999999</v>
      </c>
      <c r="S873" s="12"/>
      <c r="T873"/>
      <c r="BD8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132.15239087890475</v>
      </c>
      <c r="BE8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227.87567694075065</v>
      </c>
      <c r="BF8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384.44331892045</v>
      </c>
      <c r="BG8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546.43657225588163</v>
      </c>
      <c r="BH8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672.77580811078769</v>
      </c>
      <c r="BI8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697.57860287984897</v>
      </c>
      <c r="BJ8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708.81736925957978</v>
      </c>
      <c r="BK8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612.70653952946736</v>
      </c>
      <c r="BL8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430.17347177590693</v>
      </c>
      <c r="BM8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276.31863547407346</v>
      </c>
      <c r="BN8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127.88941052797233</v>
      </c>
      <c r="BO8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108.12468344637659</v>
      </c>
      <c r="BP873">
        <f>SUM(Таб[[#This Row],[1]:[12]])</f>
        <v>4925.2924800000001</v>
      </c>
    </row>
    <row r="874" spans="2:68" ht="89.25">
      <c r="B874" t="s">
        <v>384</v>
      </c>
      <c r="C874" t="str">
        <f>IFERROR(VLOOKUP(Таб[[#This Row],[Зелений Тариф ЕЦ]],Sheet6!$H$9:$I$29,2,FALSE),"")</f>
        <v>Земля</v>
      </c>
      <c r="G874" s="1" t="s">
        <v>2162</v>
      </c>
      <c r="H874" t="s">
        <v>1658</v>
      </c>
      <c r="J874" s="7">
        <v>7.0350000000000001</v>
      </c>
      <c r="K874" s="8">
        <v>43767</v>
      </c>
      <c r="L874" s="8">
        <v>43802</v>
      </c>
      <c r="M874">
        <v>12</v>
      </c>
      <c r="N874" s="49" t="s">
        <v>71</v>
      </c>
      <c r="O874">
        <v>2019</v>
      </c>
      <c r="P874">
        <v>0.15029999999999999</v>
      </c>
      <c r="Q874" s="10"/>
      <c r="R874" s="11">
        <f>ROUND(Таб[[#This Row],[Зелений Тариф ЕЦ]]+Таб[[#This Row],[Зелений Тариф ЕЦ]]*Таб[[#This Row],[% надбавки]],4)</f>
        <v>0.15029999999999999</v>
      </c>
      <c r="S874" s="12"/>
      <c r="T874"/>
      <c r="BD8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226.53315541742074</v>
      </c>
      <c r="BE8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390.62022107168144</v>
      </c>
      <c r="BF8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659.00554303249669</v>
      </c>
      <c r="BG8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936.6913464473995</v>
      </c>
      <c r="BH8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1153.259700306869</v>
      </c>
      <c r="BI8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1195.7761869541273</v>
      </c>
      <c r="BJ8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1215.0414699661658</v>
      </c>
      <c r="BK8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1050.2900842080417</v>
      </c>
      <c r="BL8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737.39531528837836</v>
      </c>
      <c r="BM8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473.66023405460703</v>
      </c>
      <c r="BN8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219.22563427492332</v>
      </c>
      <c r="BO8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185.34530897788969</v>
      </c>
      <c r="BP874">
        <f>SUM(Таб[[#This Row],[1]:[12]])</f>
        <v>8442.8442000000014</v>
      </c>
    </row>
    <row r="875" spans="2:68" ht="25.5">
      <c r="B875" t="s">
        <v>384</v>
      </c>
      <c r="C875" t="str">
        <f>IFERROR(VLOOKUP(Таб[[#This Row],[Зелений Тариф ЕЦ]],Sheet6!$H$9:$I$29,2,FALSE),"")</f>
        <v>Дах</v>
      </c>
      <c r="G875" s="1" t="s">
        <v>2164</v>
      </c>
      <c r="H875" t="s">
        <v>73</v>
      </c>
      <c r="J875" s="7">
        <v>0.40600000000000003</v>
      </c>
      <c r="K875" s="8">
        <v>43746</v>
      </c>
      <c r="L875" s="8">
        <v>43802</v>
      </c>
      <c r="M875">
        <v>12</v>
      </c>
      <c r="N875" s="49" t="s">
        <v>71</v>
      </c>
      <c r="O875">
        <v>2019</v>
      </c>
      <c r="P875">
        <v>0.16370000000000001</v>
      </c>
      <c r="Q875" s="10"/>
      <c r="R875" s="11">
        <f>ROUND(Таб[[#This Row],[Зелений Тариф ЕЦ]]+Таб[[#This Row],[Зелений Тариф ЕЦ]]*Таб[[#This Row],[% надбавки]],4)</f>
        <v>0.16370000000000001</v>
      </c>
      <c r="S875" s="12"/>
      <c r="T875"/>
      <c r="BD8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13.073555238020303</v>
      </c>
      <c r="BE8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22.543256539460227</v>
      </c>
      <c r="BF8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38.032160692422693</v>
      </c>
      <c r="BG8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54.05780904870565</v>
      </c>
      <c r="BH8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66.556281211739716</v>
      </c>
      <c r="BI8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69.009968998347631</v>
      </c>
      <c r="BJ8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70.121796276654351</v>
      </c>
      <c r="BK8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60.613756103548681</v>
      </c>
      <c r="BL8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42.556147548981045</v>
      </c>
      <c r="BM8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27.335615497678813</v>
      </c>
      <c r="BN8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12.651827649697067</v>
      </c>
      <c r="BO8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10.696545194743882</v>
      </c>
      <c r="BP875">
        <f>SUM(Таб[[#This Row],[1]:[12]])</f>
        <v>487.24871999999993</v>
      </c>
    </row>
    <row r="876" spans="2:68" ht="38.25">
      <c r="B876" t="s">
        <v>384</v>
      </c>
      <c r="C876" t="str">
        <f>IFERROR(VLOOKUP(Таб[[#This Row],[Зелений Тариф ЕЦ]],Sheet6!$H$9:$I$29,2,FALSE),"")</f>
        <v>Земля</v>
      </c>
      <c r="G876" s="1" t="s">
        <v>2166</v>
      </c>
      <c r="H876" t="s">
        <v>73</v>
      </c>
      <c r="J876" s="7">
        <v>2.2679999999999998</v>
      </c>
      <c r="K876" s="8">
        <v>43767</v>
      </c>
      <c r="L876" s="8">
        <v>43802</v>
      </c>
      <c r="M876">
        <v>12</v>
      </c>
      <c r="N876" s="49" t="s">
        <v>71</v>
      </c>
      <c r="O876">
        <v>2019</v>
      </c>
      <c r="P876">
        <v>0.15029999999999999</v>
      </c>
      <c r="Q876" s="10"/>
      <c r="R876" s="11">
        <f>ROUND(Таб[[#This Row],[Зелений Тариф ЕЦ]]+Таб[[#This Row],[Зелений Тариф ЕЦ]]*Таб[[#This Row],[% надбавки]],4)</f>
        <v>0.15029999999999999</v>
      </c>
      <c r="S876" s="12"/>
      <c r="T876"/>
      <c r="BD8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73.031584433078933</v>
      </c>
      <c r="BE8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125.93129515146745</v>
      </c>
      <c r="BF8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212.45551835077504</v>
      </c>
      <c r="BG8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301.97810572035564</v>
      </c>
      <c r="BH8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371.79715711385626</v>
      </c>
      <c r="BI8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385.50396474939015</v>
      </c>
      <c r="BJ8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391.71486195924149</v>
      </c>
      <c r="BK8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338.60098237154773</v>
      </c>
      <c r="BL8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237.72744492879059</v>
      </c>
      <c r="BM8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152.70240381461954</v>
      </c>
      <c r="BN8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70.675726870721547</v>
      </c>
      <c r="BO8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59.753114536155479</v>
      </c>
      <c r="BP876">
        <f>SUM(Таб[[#This Row],[1]:[12]])</f>
        <v>2721.8721599999999</v>
      </c>
    </row>
    <row r="877" spans="2:68" ht="38.25">
      <c r="B877" t="s">
        <v>384</v>
      </c>
      <c r="C877" t="str">
        <f>IFERROR(VLOOKUP(Таб[[#This Row],[Зелений Тариф ЕЦ]],Sheet6!$H$9:$I$29,2,FALSE),"")</f>
        <v>Земля</v>
      </c>
      <c r="G877" s="1" t="s">
        <v>2168</v>
      </c>
      <c r="H877" t="s">
        <v>107</v>
      </c>
      <c r="J877" s="7">
        <v>1.032</v>
      </c>
      <c r="K877" s="8">
        <v>43768</v>
      </c>
      <c r="L877" s="8">
        <v>43802</v>
      </c>
      <c r="M877">
        <v>12</v>
      </c>
      <c r="N877" s="49" t="s">
        <v>71</v>
      </c>
      <c r="O877">
        <v>2019</v>
      </c>
      <c r="P877">
        <v>0.15029999999999999</v>
      </c>
      <c r="Q877" s="10"/>
      <c r="R877" s="11">
        <f>ROUND(Таб[[#This Row],[Зелений Тариф ЕЦ]]+Таб[[#This Row],[Зелений Тариф ЕЦ]]*Таб[[#This Row],[% надбавки]],4)</f>
        <v>0.15029999999999999</v>
      </c>
      <c r="S877" s="12"/>
      <c r="T877"/>
      <c r="BD8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33.231302969549148</v>
      </c>
      <c r="BE8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57.302070809662453</v>
      </c>
      <c r="BF8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96.672881365961132</v>
      </c>
      <c r="BG8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137.40802694153749</v>
      </c>
      <c r="BH8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169.177542390432</v>
      </c>
      <c r="BI8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175.41450247855852</v>
      </c>
      <c r="BJ8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178.24062501849085</v>
      </c>
      <c r="BK8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154.07240467700058</v>
      </c>
      <c r="BL8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108.17227652844443</v>
      </c>
      <c r="BM8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69.483633481784551</v>
      </c>
      <c r="BN8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32.159325454402399</v>
      </c>
      <c r="BO8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27.189247884176567</v>
      </c>
      <c r="BP877">
        <f>SUM(Таб[[#This Row],[1]:[12]])</f>
        <v>1238.5238400000003</v>
      </c>
    </row>
    <row r="878" spans="2:68" ht="63.75">
      <c r="B878" t="s">
        <v>384</v>
      </c>
      <c r="C878" t="str">
        <f>IFERROR(VLOOKUP(Таб[[#This Row],[Зелений Тариф ЕЦ]],Sheet6!$H$9:$I$29,2,FALSE),"")</f>
        <v>Земля</v>
      </c>
      <c r="D878" t="s">
        <v>3431</v>
      </c>
      <c r="F878" t="s">
        <v>3287</v>
      </c>
      <c r="G878" s="1" t="s">
        <v>2170</v>
      </c>
      <c r="H878" t="s">
        <v>122</v>
      </c>
      <c r="J878" s="7">
        <v>10.906000000000001</v>
      </c>
      <c r="K878" s="8">
        <v>43780</v>
      </c>
      <c r="L878" s="8">
        <v>43802</v>
      </c>
      <c r="M878">
        <v>12</v>
      </c>
      <c r="N878" s="49" t="s">
        <v>71</v>
      </c>
      <c r="O878">
        <v>2019</v>
      </c>
      <c r="P878">
        <v>0.15029999999999999</v>
      </c>
      <c r="Q878" s="10"/>
      <c r="R878" s="11">
        <f>ROUND(Таб[[#This Row],[Зелений Тариф ЕЦ]]+Таб[[#This Row],[Зелений Тариф ЕЦ]]*Таб[[#This Row],[% надбавки]],4)</f>
        <v>0.15029999999999999</v>
      </c>
      <c r="S878" s="12"/>
      <c r="T878"/>
      <c r="BD8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351.18274242820058</v>
      </c>
      <c r="BE8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605.55851187032818</v>
      </c>
      <c r="BF8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1021.6225234274924</v>
      </c>
      <c r="BG8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1452.1045947910929</v>
      </c>
      <c r="BH8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1787.8394159981117</v>
      </c>
      <c r="BI8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1853.7505465418208</v>
      </c>
      <c r="BJ8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1883.6165275694389</v>
      </c>
      <c r="BK8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1628.210896712566</v>
      </c>
      <c r="BL8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1143.1461703674563</v>
      </c>
      <c r="BM8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734.29118871351011</v>
      </c>
      <c r="BN8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339.85426686600056</v>
      </c>
      <c r="BO8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287.3313347139823</v>
      </c>
      <c r="BP878">
        <f>SUM(Таб[[#This Row],[1]:[12]])</f>
        <v>13088.508720000002</v>
      </c>
    </row>
    <row r="879" spans="2:68" ht="63.75">
      <c r="B879" t="s">
        <v>384</v>
      </c>
      <c r="C879" t="str">
        <f>IFERROR(VLOOKUP(Таб[[#This Row],[Зелений Тариф ЕЦ]],Sheet6!$H$9:$I$29,2,FALSE),"")</f>
        <v>Земля</v>
      </c>
      <c r="D879" t="s">
        <v>3383</v>
      </c>
      <c r="E879" t="s">
        <v>3384</v>
      </c>
      <c r="F879" t="s">
        <v>3287</v>
      </c>
      <c r="G879" s="1" t="s">
        <v>2172</v>
      </c>
      <c r="H879" t="s">
        <v>1257</v>
      </c>
      <c r="J879" s="7">
        <v>58.776000000000003</v>
      </c>
      <c r="K879" s="8">
        <v>43790</v>
      </c>
      <c r="L879" s="8">
        <v>43809</v>
      </c>
      <c r="M879">
        <v>12</v>
      </c>
      <c r="N879" s="49" t="s">
        <v>71</v>
      </c>
      <c r="O879">
        <v>2019</v>
      </c>
      <c r="P879">
        <v>0.15029999999999999</v>
      </c>
      <c r="Q879" s="10"/>
      <c r="R879" s="11">
        <f>ROUND(Таб[[#This Row],[Зелений Тариф ЕЦ]]+Таб[[#This Row],[Зелений Тариф ЕЦ]]*Таб[[#This Row],[% надбавки]],4)</f>
        <v>0.15029999999999999</v>
      </c>
      <c r="S879" s="12"/>
      <c r="T879"/>
      <c r="BD8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1892.6386272657176</v>
      </c>
      <c r="BE8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3263.5528235549609</v>
      </c>
      <c r="BF8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5505.8578247729956</v>
      </c>
      <c r="BG8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7825.8664646471007</v>
      </c>
      <c r="BH8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9635.2511933527421</v>
      </c>
      <c r="BI8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9990.4678272090659</v>
      </c>
      <c r="BJ8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10151.425364425211</v>
      </c>
      <c r="BK8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8774.9609082319621</v>
      </c>
      <c r="BL8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6160.7884934455906</v>
      </c>
      <c r="BM8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3957.3353115555906</v>
      </c>
      <c r="BN8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1831.5857683216623</v>
      </c>
      <c r="BO8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1548.522513217405</v>
      </c>
      <c r="BP879">
        <f>SUM(Таб[[#This Row],[1]:[12]])</f>
        <v>70538.253120000008</v>
      </c>
    </row>
    <row r="880" spans="2:68" ht="38.25">
      <c r="B880" t="s">
        <v>384</v>
      </c>
      <c r="C880" t="str">
        <f>IFERROR(VLOOKUP(Таб[[#This Row],[Зелений Тариф ЕЦ]],Sheet6!$H$9:$I$29,2,FALSE),"")</f>
        <v>Земля</v>
      </c>
      <c r="D880" t="s">
        <v>3365</v>
      </c>
      <c r="E880" t="s">
        <v>3425</v>
      </c>
      <c r="F880" t="s">
        <v>3364</v>
      </c>
      <c r="G880" s="1" t="s">
        <v>2174</v>
      </c>
      <c r="H880" t="s">
        <v>136</v>
      </c>
      <c r="J880" s="7">
        <v>12.994</v>
      </c>
      <c r="K880" s="8">
        <v>43788</v>
      </c>
      <c r="L880" s="8">
        <v>43809</v>
      </c>
      <c r="M880">
        <v>12</v>
      </c>
      <c r="N880" s="49" t="s">
        <v>71</v>
      </c>
      <c r="O880">
        <v>2019</v>
      </c>
      <c r="P880">
        <v>0.15029999999999999</v>
      </c>
      <c r="Q880" s="10"/>
      <c r="R880" s="11">
        <f>ROUND(Таб[[#This Row],[Зелений Тариф ЕЦ]]+Таб[[#This Row],[Зелений Тариф ЕЦ]]*Таб[[#This Row],[% надбавки]],4)</f>
        <v>0.15029999999999999</v>
      </c>
      <c r="S880" s="12"/>
      <c r="T880"/>
      <c r="BD8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418.41816936659069</v>
      </c>
      <c r="BE8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721.49525978755207</v>
      </c>
      <c r="BF8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1217.2164927028089</v>
      </c>
      <c r="BG8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1730.1161841844362</v>
      </c>
      <c r="BH8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2130.1288622299157</v>
      </c>
      <c r="BI8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2208.6589585333227</v>
      </c>
      <c r="BJ8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2244.2429084208043</v>
      </c>
      <c r="BK8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1939.9387852451021</v>
      </c>
      <c r="BL8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1362.0063577622159</v>
      </c>
      <c r="BM8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874.87435413014396</v>
      </c>
      <c r="BN8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404.92080906444261</v>
      </c>
      <c r="BO8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342.34213857266508</v>
      </c>
      <c r="BP880">
        <f>SUM(Таб[[#This Row],[1]:[12]])</f>
        <v>15594.359280000001</v>
      </c>
    </row>
    <row r="881" spans="2:68" ht="89.25">
      <c r="B881" t="s">
        <v>384</v>
      </c>
      <c r="C881" t="str">
        <f>IFERROR(VLOOKUP(Таб[[#This Row],[Зелений Тариф ЕЦ]],Sheet6!$H$9:$I$29,2,FALSE),"")</f>
        <v>Земля</v>
      </c>
      <c r="E881" t="s">
        <v>3432</v>
      </c>
      <c r="F881" t="s">
        <v>3287</v>
      </c>
      <c r="G881" s="1" t="s">
        <v>2176</v>
      </c>
      <c r="H881" t="s">
        <v>101</v>
      </c>
      <c r="J881" s="7">
        <v>15.84</v>
      </c>
      <c r="K881" s="8">
        <v>43797</v>
      </c>
      <c r="L881" s="8">
        <v>43809</v>
      </c>
      <c r="M881">
        <v>12</v>
      </c>
      <c r="N881" s="49" t="s">
        <v>71</v>
      </c>
      <c r="O881">
        <v>2019</v>
      </c>
      <c r="P881">
        <v>0.15029999999999999</v>
      </c>
      <c r="Q881" s="10"/>
      <c r="R881" s="11">
        <f>ROUND(Таб[[#This Row],[Зелений Тариф ЕЦ]]+Таб[[#This Row],[Зелений Тариф ЕЦ]]*Таб[[#This Row],[% надбавки]],4)</f>
        <v>0.15029999999999999</v>
      </c>
      <c r="S881" s="12"/>
      <c r="T881"/>
      <c r="BD8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510.06185953261479</v>
      </c>
      <c r="BE8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879.52015661342352</v>
      </c>
      <c r="BF8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1483.8163186403335</v>
      </c>
      <c r="BG8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2109.053436777087</v>
      </c>
      <c r="BH8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2596.6785576205839</v>
      </c>
      <c r="BI8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2692.408642694154</v>
      </c>
      <c r="BJ8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2735.7863374931148</v>
      </c>
      <c r="BK8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2364.8322578330317</v>
      </c>
      <c r="BL8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1660.3186629947284</v>
      </c>
      <c r="BM8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1066.4929790227397</v>
      </c>
      <c r="BN8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493.60825116059493</v>
      </c>
      <c r="BO8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417.32333961759377</v>
      </c>
      <c r="BP881">
        <f>SUM(Таб[[#This Row],[1]:[12]])</f>
        <v>19009.900799999999</v>
      </c>
    </row>
    <row r="882" spans="2:68" ht="25.5">
      <c r="B882" t="s">
        <v>384</v>
      </c>
      <c r="C882" t="str">
        <f>IFERROR(VLOOKUP(Таб[[#This Row],[Зелений Тариф ЕЦ]],Sheet6!$H$9:$I$29,2,FALSE),"")</f>
        <v>Земля</v>
      </c>
      <c r="D882" t="s">
        <v>3390</v>
      </c>
      <c r="F882" t="s">
        <v>3287</v>
      </c>
      <c r="G882" s="1" t="s">
        <v>2178</v>
      </c>
      <c r="H882" t="s">
        <v>101</v>
      </c>
      <c r="J882" s="7">
        <v>23.398</v>
      </c>
      <c r="K882" s="8">
        <v>43791</v>
      </c>
      <c r="L882" s="8">
        <v>43809</v>
      </c>
      <c r="M882">
        <v>12</v>
      </c>
      <c r="N882" s="49" t="s">
        <v>71</v>
      </c>
      <c r="O882">
        <v>2019</v>
      </c>
      <c r="P882">
        <v>0.15029999999999999</v>
      </c>
      <c r="Q882" s="10">
        <v>0.05</v>
      </c>
      <c r="R882" s="11">
        <f>ROUND(Таб[[#This Row],[Зелений Тариф ЕЦ]]+Таб[[#This Row],[Зелений Тариф ЕЦ]]*Таб[[#This Row],[% надбавки]],4)</f>
        <v>0.1578</v>
      </c>
      <c r="S882" s="12">
        <v>43819</v>
      </c>
      <c r="T882"/>
      <c r="BD8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753.43607255960353</v>
      </c>
      <c r="BE8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1299.1800899268235</v>
      </c>
      <c r="BF8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2191.8140292643011</v>
      </c>
      <c r="BG8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3115.3808278857505</v>
      </c>
      <c r="BH8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3835.6745512125262</v>
      </c>
      <c r="BI8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3977.0819079392559</v>
      </c>
      <c r="BJ8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4041.1571164560546</v>
      </c>
      <c r="BK8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3493.2036091399796</v>
      </c>
      <c r="BL8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2452.5338432292078</v>
      </c>
      <c r="BM8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1575.366333533716</v>
      </c>
      <c r="BN8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729.13168312219705</v>
      </c>
      <c r="BO8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616.44769573058466</v>
      </c>
      <c r="BP882">
        <f>SUM(Таб[[#This Row],[1]:[12]])</f>
        <v>28080.407759999998</v>
      </c>
    </row>
    <row r="883" spans="2:68" ht="51">
      <c r="B883" t="s">
        <v>384</v>
      </c>
      <c r="C883" t="str">
        <f>IFERROR(VLOOKUP(Таб[[#This Row],[Зелений Тариф ЕЦ]],Sheet6!$H$9:$I$29,2,FALSE),"")</f>
        <v>Земля</v>
      </c>
      <c r="D883" t="s">
        <v>3361</v>
      </c>
      <c r="F883" t="s">
        <v>3287</v>
      </c>
      <c r="G883" s="1" t="s">
        <v>2180</v>
      </c>
      <c r="H883" t="s">
        <v>101</v>
      </c>
      <c r="J883" s="7">
        <v>15.391</v>
      </c>
      <c r="K883" s="8">
        <v>43789</v>
      </c>
      <c r="L883" s="8">
        <v>43809</v>
      </c>
      <c r="M883">
        <v>12</v>
      </c>
      <c r="N883" s="49" t="s">
        <v>71</v>
      </c>
      <c r="O883">
        <v>2019</v>
      </c>
      <c r="P883">
        <v>0.15029999999999999</v>
      </c>
      <c r="Q883" s="10">
        <v>0.05</v>
      </c>
      <c r="R883" s="11">
        <f>ROUND(Таб[[#This Row],[Зелений Тариф ЕЦ]]+Таб[[#This Row],[Зелений Тариф ЕЦ]]*Таб[[#This Row],[% надбавки]],4)</f>
        <v>0.1578</v>
      </c>
      <c r="S883" s="12">
        <v>43809</v>
      </c>
      <c r="T883"/>
      <c r="BD8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495.60366667086322</v>
      </c>
      <c r="BE8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854.58931379022738</v>
      </c>
      <c r="BF8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1441.756121224329</v>
      </c>
      <c r="BG8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2049.2702932724837</v>
      </c>
      <c r="BH8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2523.0732121425763</v>
      </c>
      <c r="BI8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2616.0897360925328</v>
      </c>
      <c r="BJ8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2658.2378485073573</v>
      </c>
      <c r="BK8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2297.7988182012746</v>
      </c>
      <c r="BL8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1613.2553372570619</v>
      </c>
      <c r="BM8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1036.2622121299867</v>
      </c>
      <c r="BN8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479.61645161696441</v>
      </c>
      <c r="BO8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405.4939090943426</v>
      </c>
      <c r="BP883">
        <f>SUM(Таб[[#This Row],[1]:[12]])</f>
        <v>18471.046919999993</v>
      </c>
    </row>
    <row r="884" spans="2:68" ht="51">
      <c r="B884" t="s">
        <v>384</v>
      </c>
      <c r="C884" t="str">
        <f>IFERROR(VLOOKUP(Таб[[#This Row],[Зелений Тариф ЕЦ]],Sheet6!$H$9:$I$29,2,FALSE),"")</f>
        <v>Земля</v>
      </c>
      <c r="D884" t="s">
        <v>3361</v>
      </c>
      <c r="F884" t="s">
        <v>3287</v>
      </c>
      <c r="G884" s="1" t="s">
        <v>2180</v>
      </c>
      <c r="H884" t="s">
        <v>101</v>
      </c>
      <c r="J884" s="7">
        <v>8.8469999999999995</v>
      </c>
      <c r="K884" s="8">
        <v>43789</v>
      </c>
      <c r="L884" s="8">
        <v>43809</v>
      </c>
      <c r="M884">
        <v>12</v>
      </c>
      <c r="N884" s="49" t="s">
        <v>71</v>
      </c>
      <c r="O884">
        <v>2019</v>
      </c>
      <c r="P884">
        <v>0.15029999999999999</v>
      </c>
      <c r="Q884" s="10">
        <v>0.05</v>
      </c>
      <c r="R884" s="11">
        <f>ROUND(Таб[[#This Row],[Зелений Тариф ЕЦ]]+Таб[[#This Row],[Зелений Тариф ЕЦ]]*Таб[[#This Row],[% надбавки]],4)</f>
        <v>0.1578</v>
      </c>
      <c r="S884" s="12">
        <v>43809</v>
      </c>
      <c r="T884"/>
      <c r="BD8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284.88114086395473</v>
      </c>
      <c r="BE8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491.23199656306554</v>
      </c>
      <c r="BF8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828.74513705877712</v>
      </c>
      <c r="BG8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1177.9542774726572</v>
      </c>
      <c r="BH8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1450.3039898528602</v>
      </c>
      <c r="BI8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1503.7714180502005</v>
      </c>
      <c r="BJ8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1527.9988464521202</v>
      </c>
      <c r="BK8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1320.8125621874265</v>
      </c>
      <c r="BL8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927.32570779762364</v>
      </c>
      <c r="BM8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595.66056726099612</v>
      </c>
      <c r="BN8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275.69142664253684</v>
      </c>
      <c r="BO8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233.08456979778109</v>
      </c>
      <c r="BP884">
        <f>SUM(Таб[[#This Row],[1]:[12]])</f>
        <v>10617.46164</v>
      </c>
    </row>
    <row r="885" spans="2:68" ht="51">
      <c r="B885" t="s">
        <v>384</v>
      </c>
      <c r="C885" t="str">
        <f>IFERROR(VLOOKUP(Таб[[#This Row],[Зелений Тариф ЕЦ]],Sheet6!$H$9:$I$29,2,FALSE),"")</f>
        <v>Земля</v>
      </c>
      <c r="D885" t="s">
        <v>3433</v>
      </c>
      <c r="F885" t="s">
        <v>3287</v>
      </c>
      <c r="G885" s="1" t="s">
        <v>2183</v>
      </c>
      <c r="H885" t="s">
        <v>122</v>
      </c>
      <c r="J885" s="7">
        <v>18.96</v>
      </c>
      <c r="K885" s="8">
        <v>43791</v>
      </c>
      <c r="L885" s="8">
        <v>43809</v>
      </c>
      <c r="M885">
        <v>12</v>
      </c>
      <c r="N885" s="49" t="s">
        <v>71</v>
      </c>
      <c r="O885">
        <v>2019</v>
      </c>
      <c r="P885">
        <v>0.15029999999999999</v>
      </c>
      <c r="Q885" s="10"/>
      <c r="R885" s="11">
        <f>ROUND(Таб[[#This Row],[Зелений Тариф ЕЦ]]+Таб[[#This Row],[Зелений Тариф ЕЦ]]*Таб[[#This Row],[% надбавки]],4)</f>
        <v>0.15029999999999999</v>
      </c>
      <c r="S885" s="12"/>
      <c r="T885"/>
      <c r="BD8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610.52858944055401</v>
      </c>
      <c r="BE8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1052.7589753403101</v>
      </c>
      <c r="BF8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1776.0831692816118</v>
      </c>
      <c r="BG8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2524.4730531119681</v>
      </c>
      <c r="BH8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3108.1455462428194</v>
      </c>
      <c r="BI8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3222.7315571642143</v>
      </c>
      <c r="BJ8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3274.6533433629716</v>
      </c>
      <c r="BK8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2830.6325510425686</v>
      </c>
      <c r="BL8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1987.3511269179323</v>
      </c>
      <c r="BM8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1276.5597779211582</v>
      </c>
      <c r="BN8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590.83411881343932</v>
      </c>
      <c r="BO8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499.52339136045327</v>
      </c>
      <c r="BP885">
        <f>SUM(Таб[[#This Row],[1]:[12]])</f>
        <v>22754.2752</v>
      </c>
    </row>
    <row r="886" spans="2:68" ht="38.25">
      <c r="B886" t="s">
        <v>384</v>
      </c>
      <c r="C886" t="str">
        <f>IFERROR(VLOOKUP(Таб[[#This Row],[Зелений Тариф ЕЦ]],Sheet6!$H$9:$I$29,2,FALSE),"")</f>
        <v>Земля</v>
      </c>
      <c r="D886" t="s">
        <v>3434</v>
      </c>
      <c r="F886" t="s">
        <v>3416</v>
      </c>
      <c r="G886" s="1" t="s">
        <v>2185</v>
      </c>
      <c r="H886" t="s">
        <v>172</v>
      </c>
      <c r="J886" s="7">
        <v>11.006</v>
      </c>
      <c r="K886" s="8">
        <v>43768</v>
      </c>
      <c r="L886" s="8">
        <v>43809</v>
      </c>
      <c r="M886">
        <v>12</v>
      </c>
      <c r="N886" s="49" t="s">
        <v>71</v>
      </c>
      <c r="O886">
        <v>2019</v>
      </c>
      <c r="P886">
        <v>0.15029999999999999</v>
      </c>
      <c r="Q886" s="10"/>
      <c r="R886" s="11">
        <f>ROUND(Таб[[#This Row],[Зелений Тариф ЕЦ]]+Таб[[#This Row],[Зелений Тариф ЕЦ]]*Таб[[#This Row],[% надбавки]],4)</f>
        <v>0.15029999999999999</v>
      </c>
      <c r="S886" s="12"/>
      <c r="T886"/>
      <c r="BD8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354.40282992524988</v>
      </c>
      <c r="BE8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611.11103811157454</v>
      </c>
      <c r="BF8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1030.9900506916358</v>
      </c>
      <c r="BG8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1465.4193260838779</v>
      </c>
      <c r="BH8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1804.2325887103627</v>
      </c>
      <c r="BI8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1870.7480758517586</v>
      </c>
      <c r="BJ8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1900.8879059627038</v>
      </c>
      <c r="BK8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1643.1403932897947</v>
      </c>
      <c r="BL8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1153.6279801085848</v>
      </c>
      <c r="BM8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741.02409893461322</v>
      </c>
      <c r="BN8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342.97048057282245</v>
      </c>
      <c r="BO8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289.96595175702259</v>
      </c>
      <c r="BP886">
        <f>SUM(Таб[[#This Row],[1]:[12]])</f>
        <v>13208.520719999997</v>
      </c>
    </row>
    <row r="887" spans="2:68" ht="38.25">
      <c r="B887" t="s">
        <v>384</v>
      </c>
      <c r="C887" t="str">
        <f>IFERROR(VLOOKUP(Таб[[#This Row],[Зелений Тариф ЕЦ]],Sheet6!$H$9:$I$29,2,FALSE),"")</f>
        <v>Земля</v>
      </c>
      <c r="G887" s="1" t="s">
        <v>2187</v>
      </c>
      <c r="H887" t="s">
        <v>172</v>
      </c>
      <c r="J887" s="7">
        <v>1.087</v>
      </c>
      <c r="K887" s="8">
        <v>43788</v>
      </c>
      <c r="L887" s="8">
        <v>43809</v>
      </c>
      <c r="M887">
        <v>12</v>
      </c>
      <c r="N887" s="49" t="s">
        <v>71</v>
      </c>
      <c r="O887">
        <v>2019</v>
      </c>
      <c r="P887">
        <v>0.15029999999999999</v>
      </c>
      <c r="Q887" s="10"/>
      <c r="R887" s="11">
        <f>ROUND(Таб[[#This Row],[Зелений Тариф ЕЦ]]+Таб[[#This Row],[Зелений Тариф ЕЦ]]*Таб[[#This Row],[% надбавки]],4)</f>
        <v>0.15029999999999999</v>
      </c>
      <c r="S887" s="12"/>
      <c r="T887"/>
      <c r="BD8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35.002351092926276</v>
      </c>
      <c r="BE8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60.355960242347948</v>
      </c>
      <c r="BF8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101.82502136124006</v>
      </c>
      <c r="BG8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144.73112915256903</v>
      </c>
      <c r="BH8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178.19378738217011</v>
      </c>
      <c r="BI8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184.76314359902429</v>
      </c>
      <c r="BJ8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187.73988313478637</v>
      </c>
      <c r="BK8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162.28362779447636</v>
      </c>
      <c r="BL8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113.93727188606499</v>
      </c>
      <c r="BM8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73.186734103391288</v>
      </c>
      <c r="BN8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33.873242993154456</v>
      </c>
      <c r="BO8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28.63828725784877</v>
      </c>
      <c r="BP887">
        <f>SUM(Таб[[#This Row],[1]:[12]])</f>
        <v>1304.53044</v>
      </c>
    </row>
    <row r="888" spans="2:68" ht="51">
      <c r="B888" t="s">
        <v>384</v>
      </c>
      <c r="C888" t="str">
        <f>IFERROR(VLOOKUP(Таб[[#This Row],[Зелений Тариф ЕЦ]],Sheet6!$H$9:$I$29,2,FALSE),"")</f>
        <v>Земля</v>
      </c>
      <c r="G888" s="1" t="s">
        <v>2189</v>
      </c>
      <c r="H888" t="s">
        <v>198</v>
      </c>
      <c r="J888" s="7">
        <v>9.4789999999999992</v>
      </c>
      <c r="K888" s="8">
        <v>43790</v>
      </c>
      <c r="L888" s="8">
        <v>43809</v>
      </c>
      <c r="M888">
        <v>12</v>
      </c>
      <c r="N888" s="49" t="s">
        <v>71</v>
      </c>
      <c r="O888">
        <v>2019</v>
      </c>
      <c r="P888">
        <v>0.15029999999999999</v>
      </c>
      <c r="Q888" s="10"/>
      <c r="R888" s="11">
        <f>ROUND(Таб[[#This Row],[Зелений Тариф ЕЦ]]+Таб[[#This Row],[Зелений Тариф ЕЦ]]*Таб[[#This Row],[% надбавки]],4)</f>
        <v>0.15029999999999999</v>
      </c>
      <c r="S888" s="12"/>
      <c r="T888"/>
      <c r="BD8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305.23209384530651</v>
      </c>
      <c r="BE8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526.32396240774256</v>
      </c>
      <c r="BF8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887.94790936816412</v>
      </c>
      <c r="BG8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1262.1033792430558</v>
      </c>
      <c r="BH8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1553.9088413942873</v>
      </c>
      <c r="BI8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1611.1958032890077</v>
      </c>
      <c r="BJ8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1637.1539578975526</v>
      </c>
      <c r="BK8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1415.1669805555116</v>
      </c>
      <c r="BL8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993.57074536155483</v>
      </c>
      <c r="BM8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638.21255985836797</v>
      </c>
      <c r="BN8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295.38589726965142</v>
      </c>
      <c r="BO8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249.73534950979618</v>
      </c>
      <c r="BP888">
        <f>SUM(Таб[[#This Row],[1]:[12]])</f>
        <v>11375.937479999997</v>
      </c>
    </row>
    <row r="889" spans="2:68" ht="63.75">
      <c r="B889" t="s">
        <v>384</v>
      </c>
      <c r="C889" t="str">
        <f>IFERROR(VLOOKUP(Таб[[#This Row],[Зелений Тариф ЕЦ]],Sheet6!$H$9:$I$29,2,FALSE),"")</f>
        <v>Земля</v>
      </c>
      <c r="G889" s="1" t="s">
        <v>2191</v>
      </c>
      <c r="H889" t="s">
        <v>98</v>
      </c>
      <c r="J889" s="7">
        <v>4.2119999999999997</v>
      </c>
      <c r="K889" s="8">
        <v>43788</v>
      </c>
      <c r="L889" s="8">
        <v>43809</v>
      </c>
      <c r="M889">
        <v>12</v>
      </c>
      <c r="N889" s="49" t="s">
        <v>71</v>
      </c>
      <c r="O889">
        <v>2019</v>
      </c>
      <c r="P889">
        <v>0.15029999999999999</v>
      </c>
      <c r="Q889" s="10"/>
      <c r="R889" s="11">
        <f>ROUND(Таб[[#This Row],[Зелений Тариф ЕЦ]]+Таб[[#This Row],[Зелений Тариф ЕЦ]]*Таб[[#This Row],[% надбавки]],4)</f>
        <v>0.15029999999999999</v>
      </c>
      <c r="S889" s="12"/>
      <c r="T889"/>
      <c r="BD8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135.63008537571801</v>
      </c>
      <c r="BE8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233.87240528129675</v>
      </c>
      <c r="BF8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394.56024836572499</v>
      </c>
      <c r="BG8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560.8164820520891</v>
      </c>
      <c r="BH8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690.48043464001876</v>
      </c>
      <c r="BI8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715.93593453458175</v>
      </c>
      <c r="BJ8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727.47045792430561</v>
      </c>
      <c r="BK8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628.83039583287427</v>
      </c>
      <c r="BL8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441.49382629632544</v>
      </c>
      <c r="BM8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283.5901785128649</v>
      </c>
      <c r="BN8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131.25492133134</v>
      </c>
      <c r="BO8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110.97006985286018</v>
      </c>
      <c r="BP889">
        <f>SUM(Таб[[#This Row],[1]:[12]])</f>
        <v>5054.9054399999995</v>
      </c>
    </row>
    <row r="890" spans="2:68" ht="38.25">
      <c r="B890" t="s">
        <v>384</v>
      </c>
      <c r="C890" t="str">
        <f>IFERROR(VLOOKUP(Таб[[#This Row],[Зелений Тариф ЕЦ]],Sheet6!$H$9:$I$29,2,FALSE),"")</f>
        <v>Земля</v>
      </c>
      <c r="G890" s="1" t="s">
        <v>2193</v>
      </c>
      <c r="H890" t="s">
        <v>82</v>
      </c>
      <c r="J890" s="7">
        <v>3.9969999999999999</v>
      </c>
      <c r="K890" s="8">
        <v>43788</v>
      </c>
      <c r="L890" s="8">
        <v>43809</v>
      </c>
      <c r="M890">
        <v>12</v>
      </c>
      <c r="N890" s="49" t="s">
        <v>71</v>
      </c>
      <c r="O890">
        <v>2019</v>
      </c>
      <c r="P890">
        <v>0.15029999999999999</v>
      </c>
      <c r="Q890" s="10"/>
      <c r="R890" s="11">
        <f>ROUND(Таб[[#This Row],[Зелений Тариф ЕЦ]]+Таб[[#This Row],[Зелений Тариф ЕЦ]]*Таб[[#This Row],[% надбавки]],4)</f>
        <v>0.15029999999999999</v>
      </c>
      <c r="S890" s="12"/>
      <c r="T890"/>
      <c r="BD8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128.70689725706194</v>
      </c>
      <c r="BE8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221.93447386261704</v>
      </c>
      <c r="BF8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374.42006474781647</v>
      </c>
      <c r="BG8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532.18980977260208</v>
      </c>
      <c r="BH8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655.23511330867882</v>
      </c>
      <c r="BI8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679.39124651821544</v>
      </c>
      <c r="BJ8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690.3369943787867</v>
      </c>
      <c r="BK8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596.73197819183258</v>
      </c>
      <c r="BL8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418.95793535289954</v>
      </c>
      <c r="BM8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269.11442153749306</v>
      </c>
      <c r="BN8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124.55506186167284</v>
      </c>
      <c r="BO8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105.30564321032338</v>
      </c>
      <c r="BP890">
        <f>SUM(Таб[[#This Row],[1]:[12]])</f>
        <v>4796.8796399999992</v>
      </c>
    </row>
    <row r="891" spans="2:68" ht="51">
      <c r="B891" t="s">
        <v>384</v>
      </c>
      <c r="C891" t="str">
        <f>IFERROR(VLOOKUP(Таб[[#This Row],[Зелений Тариф ЕЦ]],Sheet6!$H$9:$I$29,2,FALSE),"")</f>
        <v>Земля</v>
      </c>
      <c r="G891" s="1" t="s">
        <v>2195</v>
      </c>
      <c r="H891" t="s">
        <v>233</v>
      </c>
      <c r="J891" s="7">
        <v>0.312</v>
      </c>
      <c r="K891" s="8">
        <v>43790</v>
      </c>
      <c r="L891" s="8">
        <v>43809</v>
      </c>
      <c r="M891">
        <v>12</v>
      </c>
      <c r="N891" s="49" t="s">
        <v>71</v>
      </c>
      <c r="O891">
        <v>2019</v>
      </c>
      <c r="P891">
        <v>0.15029999999999999</v>
      </c>
      <c r="Q891" s="10"/>
      <c r="R891" s="11">
        <f>ROUND(Таб[[#This Row],[Зелений Тариф ЕЦ]]+Таб[[#This Row],[Зелений Тариф ЕЦ]]*Таб[[#This Row],[% надбавки]],4)</f>
        <v>0.15029999999999999</v>
      </c>
      <c r="S891" s="12"/>
      <c r="T891"/>
      <c r="BD8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10.046672990793926</v>
      </c>
      <c r="BE8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17.323881872688645</v>
      </c>
      <c r="BF8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29.226685064127778</v>
      </c>
      <c r="BG8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41.541961633488079</v>
      </c>
      <c r="BH8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51.146698862223616</v>
      </c>
      <c r="BI8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53.03229144700606</v>
      </c>
      <c r="BJ8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53.886700586985597</v>
      </c>
      <c r="BK8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46.580029320953663</v>
      </c>
      <c r="BL8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32.703246392320409</v>
      </c>
      <c r="BM8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21.006679889841841</v>
      </c>
      <c r="BN8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9.7225867652844471</v>
      </c>
      <c r="BO8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8.2200051742859408</v>
      </c>
      <c r="BP891">
        <f>SUM(Таб[[#This Row],[1]:[12]])</f>
        <v>374.43743999999998</v>
      </c>
    </row>
    <row r="892" spans="2:68" ht="51">
      <c r="B892" t="s">
        <v>384</v>
      </c>
      <c r="C892" t="str">
        <f>IFERROR(VLOOKUP(Таб[[#This Row],[Зелений Тариф ЕЦ]],Sheet6!$H$9:$I$29,2,FALSE),"")</f>
        <v>Земля</v>
      </c>
      <c r="G892" s="1" t="s">
        <v>2197</v>
      </c>
      <c r="H892" t="s">
        <v>69</v>
      </c>
      <c r="J892" s="7">
        <v>6.0940000000000003</v>
      </c>
      <c r="K892" s="8">
        <v>43790</v>
      </c>
      <c r="L892" s="8">
        <v>43809</v>
      </c>
      <c r="M892">
        <v>12</v>
      </c>
      <c r="N892" s="49" t="s">
        <v>71</v>
      </c>
      <c r="O892">
        <v>2019</v>
      </c>
      <c r="P892">
        <v>0.15029999999999999</v>
      </c>
      <c r="Q892" s="10"/>
      <c r="R892" s="11">
        <f>ROUND(Таб[[#This Row],[Зелений Тариф ЕЦ]]+Таб[[#This Row],[Зелений Тариф ЕЦ]]*Таб[[#This Row],[% надбавки]],4)</f>
        <v>0.15029999999999999</v>
      </c>
      <c r="S892" s="12"/>
      <c r="T892"/>
      <c r="BD8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196.23213207018654</v>
      </c>
      <c r="BE8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338.3709491415533</v>
      </c>
      <c r="BF8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570.85711147690608</v>
      </c>
      <c r="BG8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811.39972498229622</v>
      </c>
      <c r="BH8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998.99994508458587</v>
      </c>
      <c r="BI8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1035.8294361476119</v>
      </c>
      <c r="BJ8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1052.5177992855456</v>
      </c>
      <c r="BK8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909.8035214163192</v>
      </c>
      <c r="BL8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638.76148562436083</v>
      </c>
      <c r="BM8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410.30354887402626</v>
      </c>
      <c r="BN8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189.9020632937289</v>
      </c>
      <c r="BO8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160.55356260287985</v>
      </c>
      <c r="BP892">
        <f>SUM(Таб[[#This Row],[1]:[12]])</f>
        <v>7313.5312800000002</v>
      </c>
    </row>
    <row r="893" spans="2:68" ht="51">
      <c r="B893" t="s">
        <v>384</v>
      </c>
      <c r="C893" t="str">
        <f>IFERROR(VLOOKUP(Таб[[#This Row],[Зелений Тариф ЕЦ]],Sheet6!$H$9:$I$29,2,FALSE),"")</f>
        <v>Земля</v>
      </c>
      <c r="G893" s="1" t="s">
        <v>2199</v>
      </c>
      <c r="H893" t="s">
        <v>122</v>
      </c>
      <c r="J893" s="7">
        <v>1.242</v>
      </c>
      <c r="K893" s="8">
        <v>43767</v>
      </c>
      <c r="L893" s="8">
        <v>43809</v>
      </c>
      <c r="M893">
        <v>12</v>
      </c>
      <c r="N893" s="49" t="s">
        <v>71</v>
      </c>
      <c r="O893">
        <v>2019</v>
      </c>
      <c r="P893">
        <v>0.15029999999999999</v>
      </c>
      <c r="Q893" s="10"/>
      <c r="R893" s="11">
        <f>ROUND(Таб[[#This Row],[Зелений Тариф ЕЦ]]+Таб[[#This Row],[Зелений Тариф ЕЦ]]*Таб[[#This Row],[% надбавки]],4)</f>
        <v>0.15029999999999999</v>
      </c>
      <c r="S893" s="12"/>
      <c r="T893"/>
      <c r="BD8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39.993486713352752</v>
      </c>
      <c r="BE8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68.962375916279797</v>
      </c>
      <c r="BF8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116.34468862066251</v>
      </c>
      <c r="BG8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165.36896265638524</v>
      </c>
      <c r="BH8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203.60320508615942</v>
      </c>
      <c r="BI8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211.10931402942799</v>
      </c>
      <c r="BJ8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214.51051964434652</v>
      </c>
      <c r="BK8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185.42434748918089</v>
      </c>
      <c r="BL8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130.18407698481394</v>
      </c>
      <c r="BM8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83.622744946101193</v>
      </c>
      <c r="BN8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38.703374238728465</v>
      </c>
      <c r="BO8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32.721943674561338</v>
      </c>
      <c r="BP893">
        <f>SUM(Таб[[#This Row],[1]:[12]])</f>
        <v>1490.5490399999999</v>
      </c>
    </row>
    <row r="894" spans="2:68" ht="51">
      <c r="B894" t="s">
        <v>384</v>
      </c>
      <c r="C894" t="str">
        <f>IFERROR(VLOOKUP(Таб[[#This Row],[Зелений Тариф ЕЦ]],Sheet6!$H$9:$I$29,2,FALSE),"")</f>
        <v>Дах</v>
      </c>
      <c r="G894" s="1" t="s">
        <v>2201</v>
      </c>
      <c r="H894" t="s">
        <v>198</v>
      </c>
      <c r="J894" s="7">
        <v>4.7E-2</v>
      </c>
      <c r="K894" s="8">
        <v>43760</v>
      </c>
      <c r="L894" s="8">
        <v>43809</v>
      </c>
      <c r="M894">
        <v>12</v>
      </c>
      <c r="N894" s="49" t="s">
        <v>71</v>
      </c>
      <c r="O894">
        <v>2019</v>
      </c>
      <c r="P894">
        <v>0.16370000000000001</v>
      </c>
      <c r="Q894" s="10"/>
      <c r="R894" s="11">
        <f>ROUND(Таб[[#This Row],[Зелений Тариф ЕЦ]]+Таб[[#This Row],[Зелений Тариф ЕЦ]]*Таб[[#This Row],[% надбавки]],4)</f>
        <v>0.16370000000000001</v>
      </c>
      <c r="S894" s="12"/>
      <c r="T894"/>
      <c r="BD8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1.5134411236131875</v>
      </c>
      <c r="BE8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2.6096873333857897</v>
      </c>
      <c r="BF8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4.4027378141474545</v>
      </c>
      <c r="BG8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6.2579237076087804</v>
      </c>
      <c r="BH8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7.7047911747580455</v>
      </c>
      <c r="BI8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7.9888387756707839</v>
      </c>
      <c r="BJ8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8.1175478448343696</v>
      </c>
      <c r="BK8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7.0168633912975054</v>
      </c>
      <c r="BL8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4.9264505783303179</v>
      </c>
      <c r="BM8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3.164467803918483</v>
      </c>
      <c r="BN8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1.4646204422063107</v>
      </c>
      <c r="BO8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1.2382700102289717</v>
      </c>
      <c r="BP894">
        <f>SUM(Таб[[#This Row],[1]:[12]])</f>
        <v>56.405639999999998</v>
      </c>
    </row>
    <row r="895" spans="2:68" ht="25.5">
      <c r="B895" t="s">
        <v>384</v>
      </c>
      <c r="C895" t="str">
        <f>IFERROR(VLOOKUP(Таб[[#This Row],[Зелений Тариф ЕЦ]],Sheet6!$H$9:$I$29,2,FALSE),"")</f>
        <v>Дах</v>
      </c>
      <c r="G895" s="1" t="s">
        <v>1729</v>
      </c>
      <c r="H895" t="s">
        <v>1465</v>
      </c>
      <c r="J895" s="7">
        <v>0.314</v>
      </c>
      <c r="K895" s="8">
        <v>43782</v>
      </c>
      <c r="L895" s="8">
        <v>43809</v>
      </c>
      <c r="M895">
        <v>12</v>
      </c>
      <c r="N895" s="49" t="s">
        <v>71</v>
      </c>
      <c r="O895">
        <v>2019</v>
      </c>
      <c r="P895">
        <v>0.16370000000000001</v>
      </c>
      <c r="Q895" s="10"/>
      <c r="R895" s="11">
        <f>ROUND(Таб[[#This Row],[Зелений Тариф ЕЦ]]+Таб[[#This Row],[Зелений Тариф ЕЦ]]*Таб[[#This Row],[% надбавки]],4)</f>
        <v>0.16370000000000001</v>
      </c>
      <c r="S895" s="12"/>
      <c r="T895"/>
      <c r="BD8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10.111074740734914</v>
      </c>
      <c r="BE8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17.43493239751357</v>
      </c>
      <c r="BF8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29.414035609410654</v>
      </c>
      <c r="BG8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41.808256259343771</v>
      </c>
      <c r="BH8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51.474562316468649</v>
      </c>
      <c r="BI8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53.372242033204813</v>
      </c>
      <c r="BJ8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54.232128154850898</v>
      </c>
      <c r="BK8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46.878619252498233</v>
      </c>
      <c r="BL8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32.912882587142974</v>
      </c>
      <c r="BM8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21.141338094263908</v>
      </c>
      <c r="BN8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9.7849110394208836</v>
      </c>
      <c r="BO8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8.2726975151467474</v>
      </c>
      <c r="BP895">
        <f>SUM(Таб[[#This Row],[1]:[12]])</f>
        <v>376.83768000000009</v>
      </c>
    </row>
    <row r="896" spans="2:68" ht="38.25">
      <c r="B896" t="s">
        <v>384</v>
      </c>
      <c r="C896" t="str">
        <f>IFERROR(VLOOKUP(Таб[[#This Row],[Зелений Тариф ЕЦ]],Sheet6!$H$9:$I$29,2,FALSE),"")</f>
        <v>Земля</v>
      </c>
      <c r="D896" t="s">
        <v>3435</v>
      </c>
      <c r="F896" t="s">
        <v>3406</v>
      </c>
      <c r="G896" s="1" t="s">
        <v>2204</v>
      </c>
      <c r="H896" t="s">
        <v>82</v>
      </c>
      <c r="J896" s="7">
        <v>12.852</v>
      </c>
      <c r="K896" s="8">
        <v>43796</v>
      </c>
      <c r="L896" s="8">
        <v>43813</v>
      </c>
      <c r="M896">
        <v>12</v>
      </c>
      <c r="N896" s="49" t="s">
        <v>71</v>
      </c>
      <c r="O896">
        <v>2019</v>
      </c>
      <c r="P896">
        <v>0.15029999999999999</v>
      </c>
      <c r="Q896" s="10">
        <v>0.05</v>
      </c>
      <c r="R896" s="11">
        <f>ROUND(Таб[[#This Row],[Зелений Тариф ЕЦ]]+Таб[[#This Row],[Зелений Тариф ЕЦ]]*Таб[[#This Row],[% надбавки]],4)</f>
        <v>0.1578</v>
      </c>
      <c r="S896" s="12">
        <v>43978</v>
      </c>
      <c r="T896"/>
      <c r="BD8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413.84564512078066</v>
      </c>
      <c r="BE8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713.61067252498242</v>
      </c>
      <c r="BF8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1203.9146039877253</v>
      </c>
      <c r="BG8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1711.2092657486821</v>
      </c>
      <c r="BH8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2106.8505569785193</v>
      </c>
      <c r="BI8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2184.5224669132112</v>
      </c>
      <c r="BJ8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2219.7175511023684</v>
      </c>
      <c r="BK8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1918.7389001054371</v>
      </c>
      <c r="BL8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1347.1221879298137</v>
      </c>
      <c r="BM8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865.31362161617756</v>
      </c>
      <c r="BN8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400.49578560075548</v>
      </c>
      <c r="BO8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338.60098237154773</v>
      </c>
      <c r="BP896">
        <f>SUM(Таб[[#This Row],[1]:[12]])</f>
        <v>15423.942240000002</v>
      </c>
    </row>
    <row r="897" spans="2:68" ht="63.75">
      <c r="B897" t="s">
        <v>384</v>
      </c>
      <c r="C897" t="str">
        <f>IFERROR(VLOOKUP(Таб[[#This Row],[Зелений Тариф ЕЦ]],Sheet6!$H$9:$I$29,2,FALSE),"")</f>
        <v>Земля</v>
      </c>
      <c r="E897" t="s">
        <v>3436</v>
      </c>
      <c r="F897" t="s">
        <v>3421</v>
      </c>
      <c r="G897" s="1" t="s">
        <v>2206</v>
      </c>
      <c r="H897" t="s">
        <v>176</v>
      </c>
      <c r="J897" s="7">
        <v>14.763999999999999</v>
      </c>
      <c r="K897" s="8">
        <v>43794</v>
      </c>
      <c r="L897" s="8">
        <v>43813</v>
      </c>
      <c r="M897">
        <v>12</v>
      </c>
      <c r="N897" s="49" t="s">
        <v>71</v>
      </c>
      <c r="O897">
        <v>2019</v>
      </c>
      <c r="P897">
        <v>0.15029999999999999</v>
      </c>
      <c r="Q897" s="10"/>
      <c r="R897" s="11">
        <f>ROUND(Таб[[#This Row],[Зелений Тариф ЕЦ]]+Таб[[#This Row],[Зелений Тариф ЕЦ]]*Таб[[#This Row],[% надбавки]],4)</f>
        <v>0.15029999999999999</v>
      </c>
      <c r="S897" s="12"/>
      <c r="T897"/>
      <c r="BD8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475.41371806436382</v>
      </c>
      <c r="BE8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819.7749742576126</v>
      </c>
      <c r="BF8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1383.0217252781492</v>
      </c>
      <c r="BG8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1965.7869280667242</v>
      </c>
      <c r="BH8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2420.2880192367611</v>
      </c>
      <c r="BI8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2509.5152273192225</v>
      </c>
      <c r="BJ8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2549.9463059815876</v>
      </c>
      <c r="BK8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2204.1908746620502</v>
      </c>
      <c r="BL8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1547.5343901801873</v>
      </c>
      <c r="BM8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994.04686504366964</v>
      </c>
      <c r="BN8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460.07779167519084</v>
      </c>
      <c r="BO8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388.97486023447954</v>
      </c>
      <c r="BP897">
        <f>SUM(Таб[[#This Row],[1]:[12]])</f>
        <v>17718.571680000001</v>
      </c>
    </row>
    <row r="898" spans="2:68" ht="63.75">
      <c r="B898" t="s">
        <v>384</v>
      </c>
      <c r="C898" t="str">
        <f>IFERROR(VLOOKUP(Таб[[#This Row],[Зелений Тариф ЕЦ]],Sheet6!$H$9:$I$29,2,FALSE),"")</f>
        <v>Земля</v>
      </c>
      <c r="E898" t="s">
        <v>3436</v>
      </c>
      <c r="F898" t="s">
        <v>3421</v>
      </c>
      <c r="G898" s="1" t="s">
        <v>2208</v>
      </c>
      <c r="H898" t="s">
        <v>176</v>
      </c>
      <c r="J898" s="7">
        <v>18.591000000000001</v>
      </c>
      <c r="K898" s="8">
        <v>43794</v>
      </c>
      <c r="L898" s="8">
        <v>43813</v>
      </c>
      <c r="M898">
        <v>12</v>
      </c>
      <c r="N898" s="49" t="s">
        <v>71</v>
      </c>
      <c r="O898">
        <v>2019</v>
      </c>
      <c r="P898">
        <v>0.15029999999999999</v>
      </c>
      <c r="Q898" s="10"/>
      <c r="R898" s="11">
        <f>ROUND(Таб[[#This Row],[Зелений Тариф ЕЦ]]+Таб[[#This Row],[Зелений Тариф ЕЦ]]*Таб[[#This Row],[% надбавки]],4)</f>
        <v>0.15029999999999999</v>
      </c>
      <c r="S898" s="12"/>
      <c r="T898"/>
      <c r="BD8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598.64646657644198</v>
      </c>
      <c r="BE8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1032.2701535101112</v>
      </c>
      <c r="BF8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1741.5169936769221</v>
      </c>
      <c r="BG8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2475.3416946415928</v>
      </c>
      <c r="BH8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3047.6547389346138</v>
      </c>
      <c r="BI8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3160.0106740105443</v>
      </c>
      <c r="BJ8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3210.9219570918244</v>
      </c>
      <c r="BK8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2775.5427086725945</v>
      </c>
      <c r="BL8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1948.6732489731689</v>
      </c>
      <c r="BM8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1251.7153392052876</v>
      </c>
      <c r="BN8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579.33529023526648</v>
      </c>
      <c r="BO8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489.80165447163438</v>
      </c>
      <c r="BP898">
        <f>SUM(Таб[[#This Row],[1]:[12]])</f>
        <v>22311.430920000003</v>
      </c>
    </row>
    <row r="899" spans="2:68" ht="38.25">
      <c r="B899" t="s">
        <v>384</v>
      </c>
      <c r="C899" t="str">
        <f>IFERROR(VLOOKUP(Таб[[#This Row],[Зелений Тариф ЕЦ]],Sheet6!$H$9:$I$29,2,FALSE),"")</f>
        <v>Земля</v>
      </c>
      <c r="D899" t="s">
        <v>3365</v>
      </c>
      <c r="E899" t="s">
        <v>3363</v>
      </c>
      <c r="F899" t="s">
        <v>3364</v>
      </c>
      <c r="G899" s="1" t="s">
        <v>2210</v>
      </c>
      <c r="H899" t="s">
        <v>136</v>
      </c>
      <c r="J899" s="7">
        <v>18.198</v>
      </c>
      <c r="K899" s="8">
        <v>43795</v>
      </c>
      <c r="L899" s="8">
        <v>43813</v>
      </c>
      <c r="M899">
        <v>12</v>
      </c>
      <c r="N899" s="49" t="s">
        <v>71</v>
      </c>
      <c r="O899">
        <v>2019</v>
      </c>
      <c r="P899">
        <v>0.15029999999999999</v>
      </c>
      <c r="Q899" s="10"/>
      <c r="R899" s="11">
        <f>ROUND(Таб[[#This Row],[Зелений Тариф ЕЦ]]+Таб[[#This Row],[Зелений Тариф ЕЦ]]*Таб[[#This Row],[% надбавки]],4)</f>
        <v>0.15029999999999999</v>
      </c>
      <c r="S899" s="12"/>
      <c r="T899"/>
      <c r="BD8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585.99152271303808</v>
      </c>
      <c r="BE8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1010.4487253820128</v>
      </c>
      <c r="BF8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1704.7026115288377</v>
      </c>
      <c r="BG8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2423.0148006609488</v>
      </c>
      <c r="BH8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2983.2295701754665</v>
      </c>
      <c r="BI8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3093.2103838224875</v>
      </c>
      <c r="BJ8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3143.0454400062954</v>
      </c>
      <c r="BK8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2716.8697871240856</v>
      </c>
      <c r="BL8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1907.4797366905348</v>
      </c>
      <c r="BM8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1225.2550020363522</v>
      </c>
      <c r="BN8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567.08857036745621</v>
      </c>
      <c r="BO8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479.44760949248564</v>
      </c>
      <c r="BP899">
        <f>SUM(Таб[[#This Row],[1]:[12]])</f>
        <v>21839.783759999998</v>
      </c>
    </row>
    <row r="900" spans="2:68" ht="51">
      <c r="B900" t="s">
        <v>384</v>
      </c>
      <c r="C900" t="str">
        <f>IFERROR(VLOOKUP(Таб[[#This Row],[Зелений Тариф ЕЦ]],Sheet6!$H$9:$I$29,2,FALSE),"")</f>
        <v>Земля</v>
      </c>
      <c r="G900" s="1" t="s">
        <v>2212</v>
      </c>
      <c r="H900" t="s">
        <v>101</v>
      </c>
      <c r="J900" s="7">
        <v>15.84</v>
      </c>
      <c r="K900" s="8">
        <v>43797</v>
      </c>
      <c r="L900" s="8">
        <v>43813</v>
      </c>
      <c r="M900">
        <v>12</v>
      </c>
      <c r="N900" s="49" t="s">
        <v>71</v>
      </c>
      <c r="O900">
        <v>2019</v>
      </c>
      <c r="P900">
        <v>0.15029999999999999</v>
      </c>
      <c r="Q900" s="10"/>
      <c r="R900" s="11">
        <f>ROUND(Таб[[#This Row],[Зелений Тариф ЕЦ]]+Таб[[#This Row],[Зелений Тариф ЕЦ]]*Таб[[#This Row],[% надбавки]],4)</f>
        <v>0.15029999999999999</v>
      </c>
      <c r="S900" s="12"/>
      <c r="T900"/>
      <c r="BD9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510.06185953261479</v>
      </c>
      <c r="BE9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879.52015661342352</v>
      </c>
      <c r="BF9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1483.8163186403335</v>
      </c>
      <c r="BG9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2109.053436777087</v>
      </c>
      <c r="BH9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2596.6785576205839</v>
      </c>
      <c r="BI9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2692.408642694154</v>
      </c>
      <c r="BJ9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2735.7863374931148</v>
      </c>
      <c r="BK9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2364.8322578330317</v>
      </c>
      <c r="BL9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1660.3186629947284</v>
      </c>
      <c r="BM9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1066.4929790227397</v>
      </c>
      <c r="BN9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493.60825116059493</v>
      </c>
      <c r="BO9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417.32333961759377</v>
      </c>
      <c r="BP900">
        <f>SUM(Таб[[#This Row],[1]:[12]])</f>
        <v>19009.900799999999</v>
      </c>
    </row>
    <row r="901" spans="2:68" ht="38.25">
      <c r="B901" t="s">
        <v>384</v>
      </c>
      <c r="C901" t="str">
        <f>IFERROR(VLOOKUP(Таб[[#This Row],[Зелений Тариф ЕЦ]],Sheet6!$H$9:$I$29,2,FALSE),"")</f>
        <v>Земля</v>
      </c>
      <c r="F901" t="s">
        <v>3287</v>
      </c>
      <c r="G901" s="1" t="s">
        <v>2214</v>
      </c>
      <c r="H901" t="s">
        <v>1257</v>
      </c>
      <c r="J901" s="7">
        <v>10.537000000000001</v>
      </c>
      <c r="K901" s="8">
        <v>43801</v>
      </c>
      <c r="L901" s="8">
        <v>43813</v>
      </c>
      <c r="M901">
        <v>12</v>
      </c>
      <c r="N901" s="49" t="s">
        <v>71</v>
      </c>
      <c r="O901">
        <v>2019</v>
      </c>
      <c r="P901">
        <v>0.15029999999999999</v>
      </c>
      <c r="Q901" s="10"/>
      <c r="R901" s="11">
        <f>ROUND(Таб[[#This Row],[Зелений Тариф ЕЦ]]+Таб[[#This Row],[Зелений Тариф ЕЦ]]*Таб[[#This Row],[% надбавки]],4)</f>
        <v>0.15029999999999999</v>
      </c>
      <c r="S901" s="12"/>
      <c r="T901"/>
      <c r="BD9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339.30061956408849</v>
      </c>
      <c r="BE9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585.0696900401291</v>
      </c>
      <c r="BF9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987.05634782280265</v>
      </c>
      <c r="BG9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1402.9732363207177</v>
      </c>
      <c r="BH9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1727.3486086899047</v>
      </c>
      <c r="BI9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1791.0296633881505</v>
      </c>
      <c r="BJ9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1819.8851412982926</v>
      </c>
      <c r="BK9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1573.1210543425923</v>
      </c>
      <c r="BL9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1104.4682924226927</v>
      </c>
      <c r="BM9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709.44674999763947</v>
      </c>
      <c r="BN9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328.35543828782761</v>
      </c>
      <c r="BO9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277.60959782516329</v>
      </c>
      <c r="BP901">
        <f>SUM(Таб[[#This Row],[1]:[12]])</f>
        <v>12645.664440000002</v>
      </c>
    </row>
    <row r="902" spans="2:68" ht="51">
      <c r="B902" t="s">
        <v>384</v>
      </c>
      <c r="C902" t="str">
        <f>IFERROR(VLOOKUP(Таб[[#This Row],[Зелений Тариф ЕЦ]],Sheet6!$H$9:$I$29,2,FALSE),"")</f>
        <v>Земля</v>
      </c>
      <c r="D902" t="s">
        <v>3365</v>
      </c>
      <c r="E902" t="s">
        <v>3363</v>
      </c>
      <c r="F902" t="s">
        <v>3364</v>
      </c>
      <c r="G902" s="1" t="s">
        <v>2216</v>
      </c>
      <c r="H902" t="s">
        <v>82</v>
      </c>
      <c r="J902" s="7">
        <v>15.391999999999999</v>
      </c>
      <c r="K902" s="8">
        <v>43796</v>
      </c>
      <c r="L902" s="8">
        <v>43813</v>
      </c>
      <c r="M902">
        <v>12</v>
      </c>
      <c r="N902" s="49" t="s">
        <v>71</v>
      </c>
      <c r="O902">
        <v>2019</v>
      </c>
      <c r="P902">
        <v>0.15029999999999999</v>
      </c>
      <c r="Q902" s="10"/>
      <c r="R902" s="11">
        <f>ROUND(Таб[[#This Row],[Зелений Тариф ЕЦ]]+Таб[[#This Row],[Зелений Тариф ЕЦ]]*Таб[[#This Row],[% надбавки]],4)</f>
        <v>0.15029999999999999</v>
      </c>
      <c r="S902" s="12"/>
      <c r="T902"/>
      <c r="BD9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495.63586754583372</v>
      </c>
      <c r="BE9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854.64483905263978</v>
      </c>
      <c r="BF9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1441.8497964969706</v>
      </c>
      <c r="BG9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2049.4034405854118</v>
      </c>
      <c r="BH9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2523.2371438696982</v>
      </c>
      <c r="BI9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2616.2597113856323</v>
      </c>
      <c r="BJ9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2658.4105622912894</v>
      </c>
      <c r="BK9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2297.9481131670473</v>
      </c>
      <c r="BL9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1613.3601553544731</v>
      </c>
      <c r="BM9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1036.3295412321975</v>
      </c>
      <c r="BN9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479.64761375403265</v>
      </c>
      <c r="BO9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405.52025526477303</v>
      </c>
      <c r="BP902">
        <f>SUM(Таб[[#This Row],[1]:[12]])</f>
        <v>18472.247039999998</v>
      </c>
    </row>
    <row r="903" spans="2:68" ht="25.5">
      <c r="B903" t="s">
        <v>384</v>
      </c>
      <c r="C903" t="str">
        <f>IFERROR(VLOOKUP(Таб[[#This Row],[Зелений Тариф ЕЦ]],Sheet6!$H$9:$I$29,2,FALSE),"")</f>
        <v>Земля</v>
      </c>
      <c r="G903" s="1" t="s">
        <v>2218</v>
      </c>
      <c r="H903" t="s">
        <v>73</v>
      </c>
      <c r="J903" s="7">
        <v>2.052</v>
      </c>
      <c r="K903" s="8">
        <v>43795</v>
      </c>
      <c r="L903" s="8">
        <v>43813</v>
      </c>
      <c r="M903">
        <v>12</v>
      </c>
      <c r="N903" s="49" t="s">
        <v>71</v>
      </c>
      <c r="O903">
        <v>2019</v>
      </c>
      <c r="P903">
        <v>0.15029999999999999</v>
      </c>
      <c r="Q903" s="10"/>
      <c r="R903" s="11">
        <f>ROUND(Таб[[#This Row],[Зелений Тариф ЕЦ]]+Таб[[#This Row],[Зелений Тариф ЕЦ]]*Таб[[#This Row],[% надбавки]],4)</f>
        <v>0.15029999999999999</v>
      </c>
      <c r="S903" s="12"/>
      <c r="T903"/>
      <c r="BD9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66.076195439452377</v>
      </c>
      <c r="BE9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113.93783847037533</v>
      </c>
      <c r="BF9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192.221659460225</v>
      </c>
      <c r="BG9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273.21828612794081</v>
      </c>
      <c r="BH9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336.38790405539385</v>
      </c>
      <c r="BI9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348.78930143992449</v>
      </c>
      <c r="BJ9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354.40868462978989</v>
      </c>
      <c r="BK9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306.35326976473368</v>
      </c>
      <c r="BL9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215.08673588795347</v>
      </c>
      <c r="BM9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138.15931773703673</v>
      </c>
      <c r="BN9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63.944705263986165</v>
      </c>
      <c r="BO9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54.062341723188297</v>
      </c>
      <c r="BP903">
        <f>SUM(Таб[[#This Row],[1]:[12]])</f>
        <v>2462.64624</v>
      </c>
    </row>
    <row r="904" spans="2:68" ht="76.5">
      <c r="B904" t="s">
        <v>384</v>
      </c>
      <c r="C904" t="str">
        <f>IFERROR(VLOOKUP(Таб[[#This Row],[Зелений Тариф ЕЦ]],Sheet6!$H$9:$I$29,2,FALSE),"")</f>
        <v>Земля</v>
      </c>
      <c r="G904" s="1" t="s">
        <v>2220</v>
      </c>
      <c r="H904" t="s">
        <v>122</v>
      </c>
      <c r="J904" s="7">
        <v>6.367</v>
      </c>
      <c r="K904" s="8">
        <v>43766</v>
      </c>
      <c r="L904" s="8">
        <v>43813</v>
      </c>
      <c r="M904">
        <v>12</v>
      </c>
      <c r="N904" s="49" t="s">
        <v>71</v>
      </c>
      <c r="O904">
        <v>2019</v>
      </c>
      <c r="P904">
        <v>0.15029999999999999</v>
      </c>
      <c r="Q904" s="10"/>
      <c r="R904" s="11">
        <f>ROUND(Таб[[#This Row],[Зелений Тариф ЕЦ]]+Таб[[#This Row],[Зелений Тариф ЕЦ]]*Таб[[#This Row],[% надбавки]],4)</f>
        <v>0.15029999999999999</v>
      </c>
      <c r="S904" s="12"/>
      <c r="T904"/>
      <c r="BD9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205.02297093713122</v>
      </c>
      <c r="BE9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353.52934578015584</v>
      </c>
      <c r="BF9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596.43046090801795</v>
      </c>
      <c r="BG9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847.74894141159803</v>
      </c>
      <c r="BH9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1043.7533065890314</v>
      </c>
      <c r="BI9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1082.2326911637424</v>
      </c>
      <c r="BJ9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1099.6686622991579</v>
      </c>
      <c r="BK9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950.56104707215354</v>
      </c>
      <c r="BL9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667.37682621764111</v>
      </c>
      <c r="BM9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428.68439377763787</v>
      </c>
      <c r="BN9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198.40932671335281</v>
      </c>
      <c r="BO9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167.74606713038006</v>
      </c>
      <c r="BP904">
        <f>SUM(Таб[[#This Row],[1]:[12]])</f>
        <v>7641.1640399999997</v>
      </c>
    </row>
    <row r="905" spans="2:68" ht="63.75">
      <c r="B905" t="s">
        <v>384</v>
      </c>
      <c r="C905" t="str">
        <f>IFERROR(VLOOKUP(Таб[[#This Row],[Зелений Тариф ЕЦ]],Sheet6!$H$9:$I$29,2,FALSE),"")</f>
        <v>Земля</v>
      </c>
      <c r="G905" s="1" t="s">
        <v>2222</v>
      </c>
      <c r="H905" t="s">
        <v>136</v>
      </c>
      <c r="J905" s="7">
        <v>3.1659999999999999</v>
      </c>
      <c r="K905" s="8">
        <v>43768</v>
      </c>
      <c r="L905" s="8">
        <v>43813</v>
      </c>
      <c r="M905">
        <v>12</v>
      </c>
      <c r="N905" s="49" t="s">
        <v>71</v>
      </c>
      <c r="O905">
        <v>2019</v>
      </c>
      <c r="P905">
        <v>0.15029999999999999</v>
      </c>
      <c r="Q905" s="10"/>
      <c r="R905" s="11">
        <f>ROUND(Таб[[#This Row],[Зелений Тариф ЕЦ]]+Таб[[#This Row],[Зелений Тариф ЕЦ]]*Таб[[#This Row],[% надбавки]],4)</f>
        <v>0.15029999999999999</v>
      </c>
      <c r="S905" s="12"/>
      <c r="T905"/>
      <c r="BD9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101.94797015658196</v>
      </c>
      <c r="BE9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175.7929807978598</v>
      </c>
      <c r="BF9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296.57591318278384</v>
      </c>
      <c r="BG9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421.54439272956176</v>
      </c>
      <c r="BH9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519.00784806987178</v>
      </c>
      <c r="BI9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538.14177795263197</v>
      </c>
      <c r="BJ9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546.81183993075774</v>
      </c>
      <c r="BK9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472.6678616350618</v>
      </c>
      <c r="BL9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331.85409640412308</v>
      </c>
      <c r="BM9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213.16393760012588</v>
      </c>
      <c r="BN9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98.659325957982546</v>
      </c>
      <c r="BO9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83.411975582657959</v>
      </c>
      <c r="BP905">
        <f>SUM(Таб[[#This Row],[1]:[12]])</f>
        <v>3799.5799200000001</v>
      </c>
    </row>
    <row r="906" spans="2:68" ht="38.25">
      <c r="B906" t="s">
        <v>384</v>
      </c>
      <c r="C906" t="str">
        <f>IFERROR(VLOOKUP(Таб[[#This Row],[Зелений Тариф ЕЦ]],Sheet6!$H$9:$I$29,2,FALSE),"")</f>
        <v>Земля</v>
      </c>
      <c r="G906" s="1" t="s">
        <v>2224</v>
      </c>
      <c r="H906" t="s">
        <v>136</v>
      </c>
      <c r="J906" s="7">
        <v>2.2719999999999998</v>
      </c>
      <c r="K906" s="8">
        <v>43770</v>
      </c>
      <c r="L906" s="8">
        <v>43813</v>
      </c>
      <c r="M906">
        <v>12</v>
      </c>
      <c r="N906" s="49" t="s">
        <v>71</v>
      </c>
      <c r="O906">
        <v>2019</v>
      </c>
      <c r="P906">
        <v>0.15029999999999999</v>
      </c>
      <c r="Q906" s="10"/>
      <c r="R906" s="11">
        <f>ROUND(Таб[[#This Row],[Зелений Тариф ЕЦ]]+Таб[[#This Row],[Зелений Тариф ЕЦ]]*Таб[[#This Row],[% надбавки]],4)</f>
        <v>0.15029999999999999</v>
      </c>
      <c r="S906" s="12"/>
      <c r="T906"/>
      <c r="BD9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73.160387932960901</v>
      </c>
      <c r="BE9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126.15339620111732</v>
      </c>
      <c r="BF9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212.83021944134077</v>
      </c>
      <c r="BG9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302.51069497206697</v>
      </c>
      <c r="BH9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372.45288402234632</v>
      </c>
      <c r="BI9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386.18386592178769</v>
      </c>
      <c r="BJ9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392.40571709497203</v>
      </c>
      <c r="BK9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339.19816223463687</v>
      </c>
      <c r="BL9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238.14671731843575</v>
      </c>
      <c r="BM9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152.97172022346368</v>
      </c>
      <c r="BN9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70.800375418994406</v>
      </c>
      <c r="BO9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59.858499217877096</v>
      </c>
      <c r="BP906">
        <f>SUM(Таб[[#This Row],[1]:[12]])</f>
        <v>2726.6726399999998</v>
      </c>
    </row>
    <row r="907" spans="2:68" ht="63.75">
      <c r="B907" t="s">
        <v>384</v>
      </c>
      <c r="C907" t="str">
        <f>IFERROR(VLOOKUP(Таб[[#This Row],[Зелений Тариф ЕЦ]],Sheet6!$H$9:$I$29,2,FALSE),"")</f>
        <v>Земля</v>
      </c>
      <c r="G907" s="1" t="s">
        <v>2226</v>
      </c>
      <c r="H907" t="s">
        <v>122</v>
      </c>
      <c r="J907" s="7">
        <v>1.1160000000000001</v>
      </c>
      <c r="K907" s="8">
        <v>43789</v>
      </c>
      <c r="L907" s="8">
        <v>43813</v>
      </c>
      <c r="M907">
        <v>12</v>
      </c>
      <c r="N907" s="49" t="s">
        <v>71</v>
      </c>
      <c r="O907">
        <v>2019</v>
      </c>
      <c r="P907">
        <v>0.15029999999999999</v>
      </c>
      <c r="Q907" s="10"/>
      <c r="R907" s="11">
        <f>ROUND(Таб[[#This Row],[Зелений Тариф ЕЦ]]+Таб[[#This Row],[Зелений Тариф ЕЦ]]*Таб[[#This Row],[% надбавки]],4)</f>
        <v>0.15029999999999999</v>
      </c>
      <c r="S907" s="12"/>
      <c r="T907"/>
      <c r="BD9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35.936176467070581</v>
      </c>
      <c r="BE9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61.966192852309405</v>
      </c>
      <c r="BF9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104.54160426784171</v>
      </c>
      <c r="BG9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148.59240122747659</v>
      </c>
      <c r="BH9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182.94780746872297</v>
      </c>
      <c r="BI9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189.69242709890631</v>
      </c>
      <c r="BJ9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192.74858286883313</v>
      </c>
      <c r="BK9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166.61318180187271</v>
      </c>
      <c r="BL9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116.97699671099221</v>
      </c>
      <c r="BM9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75.139278067511214</v>
      </c>
      <c r="BN9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34.776944968132824</v>
      </c>
      <c r="BO9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29.402326200330478</v>
      </c>
      <c r="BP907">
        <f>SUM(Таб[[#This Row],[1]:[12]])</f>
        <v>1339.33392</v>
      </c>
    </row>
    <row r="908" spans="2:68" ht="38.25">
      <c r="B908" t="s">
        <v>384</v>
      </c>
      <c r="C908" t="str">
        <f>IFERROR(VLOOKUP(Таб[[#This Row],[Зелений Тариф ЕЦ]],Sheet6!$H$9:$I$29,2,FALSE),"")</f>
        <v>Земля</v>
      </c>
      <c r="G908" s="1" t="s">
        <v>2228</v>
      </c>
      <c r="H908" t="s">
        <v>163</v>
      </c>
      <c r="J908" s="7">
        <v>0.625</v>
      </c>
      <c r="K908" s="8">
        <v>43796</v>
      </c>
      <c r="L908" s="8">
        <v>43813</v>
      </c>
      <c r="M908">
        <v>12</v>
      </c>
      <c r="N908" s="49" t="s">
        <v>71</v>
      </c>
      <c r="O908">
        <v>2019</v>
      </c>
      <c r="P908">
        <v>0.15029999999999999</v>
      </c>
      <c r="Q908" s="10"/>
      <c r="R908" s="11">
        <f>ROUND(Таб[[#This Row],[Зелений Тариф ЕЦ]]+Таб[[#This Row],[Зелений Тариф ЕЦ]]*Таб[[#This Row],[% надбавки]],4)</f>
        <v>0.15029999999999999</v>
      </c>
      <c r="S908" s="12"/>
      <c r="T908"/>
      <c r="BD9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20.125546856558344</v>
      </c>
      <c r="BE9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34.703289007789756</v>
      </c>
      <c r="BF9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58.547045400896998</v>
      </c>
      <c r="BG9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83.217070579904004</v>
      </c>
      <c r="BH9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102.45732945156973</v>
      </c>
      <c r="BI9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106.23455818711147</v>
      </c>
      <c r="BJ9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107.94611495790384</v>
      </c>
      <c r="BK9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93.309353607679597</v>
      </c>
      <c r="BL9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65.511310882052101</v>
      </c>
      <c r="BM9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42.080688881894716</v>
      </c>
      <c r="BN9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19.476335667637109</v>
      </c>
      <c r="BO9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16.466356519002282</v>
      </c>
      <c r="BP908">
        <f>SUM(Таб[[#This Row],[1]:[12]])</f>
        <v>750.07499999999993</v>
      </c>
    </row>
    <row r="909" spans="2:68" ht="25.5">
      <c r="B909" t="s">
        <v>384</v>
      </c>
      <c r="C909" t="str">
        <f>IFERROR(VLOOKUP(Таб[[#This Row],[Зелений Тариф ЕЦ]],Sheet6!$H$9:$I$29,2,FALSE),"")</f>
        <v>Земля</v>
      </c>
      <c r="G909" s="1" t="s">
        <v>2230</v>
      </c>
      <c r="H909" t="s">
        <v>107</v>
      </c>
      <c r="J909" s="7">
        <v>5.9139999999999997</v>
      </c>
      <c r="K909" s="8">
        <v>43797</v>
      </c>
      <c r="L909" s="8">
        <v>43813</v>
      </c>
      <c r="M909">
        <v>12</v>
      </c>
      <c r="N909" s="49" t="s">
        <v>71</v>
      </c>
      <c r="O909">
        <v>2019</v>
      </c>
      <c r="P909">
        <v>0.15029999999999999</v>
      </c>
      <c r="Q909" s="10"/>
      <c r="R909" s="11">
        <f>ROUND(Таб[[#This Row],[Зелений Тариф ЕЦ]]+Таб[[#This Row],[Зелений Тариф ЕЦ]]*Таб[[#This Row],[% надбавки]],4)</f>
        <v>0.15029999999999999</v>
      </c>
      <c r="S909" s="12"/>
      <c r="T909"/>
      <c r="BD9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190.43597457549771</v>
      </c>
      <c r="BE9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328.3764019073098</v>
      </c>
      <c r="BF9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553.99556240144773</v>
      </c>
      <c r="BG9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787.43320865528358</v>
      </c>
      <c r="BH9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969.49223420253372</v>
      </c>
      <c r="BI9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1005.2338833897238</v>
      </c>
      <c r="BJ9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1021.4293181776693</v>
      </c>
      <c r="BK9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882.93042757730746</v>
      </c>
      <c r="BL9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619.89422809032976</v>
      </c>
      <c r="BM9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398.18431047604059</v>
      </c>
      <c r="BN9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184.29287862144938</v>
      </c>
      <c r="BO9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155.81125192540719</v>
      </c>
      <c r="BP909">
        <f>SUM(Таб[[#This Row],[1]:[12]])</f>
        <v>7097.509680000001</v>
      </c>
    </row>
    <row r="910" spans="2:68" ht="38.25">
      <c r="B910" t="s">
        <v>384</v>
      </c>
      <c r="C910" t="str">
        <f>IFERROR(VLOOKUP(Таб[[#This Row],[Зелений Тариф ЕЦ]],Sheet6!$H$9:$I$29,2,FALSE),"")</f>
        <v>Земля</v>
      </c>
      <c r="G910" s="1" t="s">
        <v>2232</v>
      </c>
      <c r="H910" t="s">
        <v>65</v>
      </c>
      <c r="J910" s="7">
        <v>2.1429999999999998</v>
      </c>
      <c r="K910" s="8">
        <v>43790</v>
      </c>
      <c r="L910" s="8">
        <v>43813</v>
      </c>
      <c r="M910">
        <v>12</v>
      </c>
      <c r="N910" s="49" t="s">
        <v>71</v>
      </c>
      <c r="O910">
        <v>2019</v>
      </c>
      <c r="P910">
        <v>0.15029999999999999</v>
      </c>
      <c r="Q910" s="10"/>
      <c r="R910" s="11">
        <f>ROUND(Таб[[#This Row],[Зелений Тариф ЕЦ]]+Таб[[#This Row],[Зелений Тариф ЕЦ]]*Таб[[#This Row],[% надбавки]],4)</f>
        <v>0.15029999999999999</v>
      </c>
      <c r="S910" s="12"/>
      <c r="T910"/>
      <c r="BD9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69.006475061767247</v>
      </c>
      <c r="BE9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118.99063734990949</v>
      </c>
      <c r="BF9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200.74610927059561</v>
      </c>
      <c r="BG9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285.33469160437483</v>
      </c>
      <c r="BH9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351.30569122354228</v>
      </c>
      <c r="BI9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364.25705311196782</v>
      </c>
      <c r="BJ9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370.12563896766068</v>
      </c>
      <c r="BK9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319.9391116500118</v>
      </c>
      <c r="BL9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224.62518275238023</v>
      </c>
      <c r="BM9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144.28626603824057</v>
      </c>
      <c r="BN9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66.780459737194107</v>
      </c>
      <c r="BO9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56.459843232355013</v>
      </c>
      <c r="BP910">
        <f>SUM(Таб[[#This Row],[1]:[12]])</f>
        <v>2571.8571599999996</v>
      </c>
    </row>
    <row r="911" spans="2:68" ht="38.25">
      <c r="B911" t="s">
        <v>384</v>
      </c>
      <c r="C911" t="str">
        <f>IFERROR(VLOOKUP(Таб[[#This Row],[Зелений Тариф ЕЦ]],Sheet6!$H$9:$I$29,2,FALSE),"")</f>
        <v>Земля</v>
      </c>
      <c r="G911" s="1" t="s">
        <v>2234</v>
      </c>
      <c r="H911" t="s">
        <v>233</v>
      </c>
      <c r="J911" s="7">
        <v>0.75700000000000001</v>
      </c>
      <c r="K911" s="8">
        <v>43797</v>
      </c>
      <c r="L911" s="8">
        <v>43813</v>
      </c>
      <c r="M911">
        <v>12</v>
      </c>
      <c r="N911" s="49" t="s">
        <v>71</v>
      </c>
      <c r="O911">
        <v>2019</v>
      </c>
      <c r="P911">
        <v>0.15029999999999999</v>
      </c>
      <c r="Q911" s="10"/>
      <c r="R911" s="11">
        <f>ROUND(Таб[[#This Row],[Зелений Тариф ЕЦ]]+Таб[[#This Row],[Зелений Тариф ЕЦ]]*Таб[[#This Row],[% надбавки]],4)</f>
        <v>0.15029999999999999</v>
      </c>
      <c r="S911" s="12"/>
      <c r="T911"/>
      <c r="BD9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24.376062352663471</v>
      </c>
      <c r="BE9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42.032623646234953</v>
      </c>
      <c r="BF9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70.912181389566442</v>
      </c>
      <c r="BG9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100.79251588637973</v>
      </c>
      <c r="BH9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124.09631743174128</v>
      </c>
      <c r="BI9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128.67129687622946</v>
      </c>
      <c r="BJ9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130.74433443701315</v>
      </c>
      <c r="BK9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113.01628908962155</v>
      </c>
      <c r="BL9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79.347299740341498</v>
      </c>
      <c r="BM9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50.968130373750881</v>
      </c>
      <c r="BN9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23.589737760642066</v>
      </c>
      <c r="BO9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19.944051015815567</v>
      </c>
      <c r="BP911">
        <f>SUM(Таб[[#This Row],[1]:[12]])</f>
        <v>908.49083999999993</v>
      </c>
    </row>
    <row r="912" spans="2:68" ht="63.75">
      <c r="B912" t="s">
        <v>384</v>
      </c>
      <c r="C912" t="str">
        <f>IFERROR(VLOOKUP(Таб[[#This Row],[Зелений Тариф ЕЦ]],Sheet6!$H$9:$I$29,2,FALSE),"")</f>
        <v>Земля</v>
      </c>
      <c r="G912" s="1" t="s">
        <v>2236</v>
      </c>
      <c r="H912" t="s">
        <v>101</v>
      </c>
      <c r="J912" s="7">
        <v>5.2389999999999999</v>
      </c>
      <c r="K912" s="8">
        <v>43796</v>
      </c>
      <c r="L912" s="8">
        <v>43813</v>
      </c>
      <c r="M912">
        <v>12</v>
      </c>
      <c r="N912" s="49" t="s">
        <v>71</v>
      </c>
      <c r="O912">
        <v>2019</v>
      </c>
      <c r="P912">
        <v>0.15029999999999999</v>
      </c>
      <c r="Q912" s="10"/>
      <c r="R912" s="11">
        <f>ROUND(Таб[[#This Row],[Зелений Тариф ЕЦ]]+Таб[[#This Row],[Зелений Тариф ЕЦ]]*Таб[[#This Row],[% надбавки]],4)</f>
        <v>0.15029999999999999</v>
      </c>
      <c r="S912" s="12"/>
      <c r="T912"/>
      <c r="BD9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168.70038397041469</v>
      </c>
      <c r="BE9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290.89684977889686</v>
      </c>
      <c r="BF9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490.76475336847898</v>
      </c>
      <c r="BG9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697.55877242898737</v>
      </c>
      <c r="BH9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858.8383183948381</v>
      </c>
      <c r="BI9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890.50056054764354</v>
      </c>
      <c r="BJ9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904.84751402313304</v>
      </c>
      <c r="BK9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782.15632568101341</v>
      </c>
      <c r="BL9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549.14201233771348</v>
      </c>
      <c r="BM9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352.73716648359431</v>
      </c>
      <c r="BN9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163.2584361004013</v>
      </c>
      <c r="BO9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138.02758688488473</v>
      </c>
      <c r="BP912">
        <f>SUM(Таб[[#This Row],[1]:[12]])</f>
        <v>6287.42868</v>
      </c>
    </row>
    <row r="913" spans="2:68" ht="51">
      <c r="B913" t="s">
        <v>384</v>
      </c>
      <c r="C913" t="str">
        <f>IFERROR(VLOOKUP(Таб[[#This Row],[Зелений Тариф ЕЦ]],Sheet6!$H$9:$I$29,2,FALSE),"")</f>
        <v>Земля</v>
      </c>
      <c r="G913" s="1" t="s">
        <v>2238</v>
      </c>
      <c r="H913" t="s">
        <v>172</v>
      </c>
      <c r="J913" s="7">
        <v>2.504</v>
      </c>
      <c r="K913" s="8">
        <v>43797</v>
      </c>
      <c r="L913" s="8">
        <v>43813</v>
      </c>
      <c r="M913">
        <v>12</v>
      </c>
      <c r="N913" s="49" t="s">
        <v>71</v>
      </c>
      <c r="O913">
        <v>2019</v>
      </c>
      <c r="P913">
        <v>0.15029999999999999</v>
      </c>
      <c r="Q913" s="10"/>
      <c r="R913" s="11">
        <f>ROUND(Таб[[#This Row],[Зелений Тариф ЕЦ]]+Таб[[#This Row],[Зелений Тариф ЕЦ]]*Таб[[#This Row],[% надбавки]],4)</f>
        <v>0.15029999999999999</v>
      </c>
      <c r="S913" s="12"/>
      <c r="T913"/>
      <c r="BD9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80.630990926115359</v>
      </c>
      <c r="BE9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139.03525708080889</v>
      </c>
      <c r="BF9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234.56288269415376</v>
      </c>
      <c r="BG9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333.4008715713274</v>
      </c>
      <c r="BH9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410.48504471476906</v>
      </c>
      <c r="BI9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425.61813392084355</v>
      </c>
      <c r="BJ9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432.47531496734598</v>
      </c>
      <c r="BK9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373.83459429380758</v>
      </c>
      <c r="BL9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262.46451591785353</v>
      </c>
      <c r="BM9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168.592071936423</v>
      </c>
      <c r="BN9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78.029991218821323</v>
      </c>
      <c r="BO9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65.970810757730732</v>
      </c>
      <c r="BP913">
        <f>SUM(Таб[[#This Row],[1]:[12]])</f>
        <v>3005.1004800000001</v>
      </c>
    </row>
    <row r="914" spans="2:68" ht="76.5">
      <c r="B914" t="s">
        <v>384</v>
      </c>
      <c r="C914" t="str">
        <f>IFERROR(VLOOKUP(Таб[[#This Row],[Зелений Тариф ЕЦ]],Sheet6!$H$9:$I$29,2,FALSE),"")</f>
        <v>Земля</v>
      </c>
      <c r="G914" s="1" t="s">
        <v>2240</v>
      </c>
      <c r="H914" t="s">
        <v>73</v>
      </c>
      <c r="J914" s="7">
        <v>6.0039999999999996</v>
      </c>
      <c r="K914" s="8">
        <v>43794</v>
      </c>
      <c r="L914" s="8">
        <v>43813</v>
      </c>
      <c r="M914">
        <v>12</v>
      </c>
      <c r="N914" s="49" t="s">
        <v>71</v>
      </c>
      <c r="O914">
        <v>2019</v>
      </c>
      <c r="P914">
        <v>0.15029999999999999</v>
      </c>
      <c r="Q914" s="10"/>
      <c r="R914" s="11">
        <f>ROUND(Таб[[#This Row],[Зелений Тариф ЕЦ]]+Таб[[#This Row],[Зелений Тариф ЕЦ]]*Таб[[#This Row],[% надбавки]],4)</f>
        <v>0.15029999999999999</v>
      </c>
      <c r="S914" s="12"/>
      <c r="T914"/>
      <c r="BD9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193.33405332284212</v>
      </c>
      <c r="BE9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333.37367552443152</v>
      </c>
      <c r="BF9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562.42633693917696</v>
      </c>
      <c r="BG9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799.41646681878979</v>
      </c>
      <c r="BH9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984.24608964355957</v>
      </c>
      <c r="BI9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1020.5316597686679</v>
      </c>
      <c r="BJ9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1036.9735587316075</v>
      </c>
      <c r="BK9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896.36697449681333</v>
      </c>
      <c r="BL9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629.32785685734518</v>
      </c>
      <c r="BM9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404.24392967503343</v>
      </c>
      <c r="BN9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187.09747095758914</v>
      </c>
      <c r="BO9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158.18240726414354</v>
      </c>
      <c r="BP914">
        <f>SUM(Таб[[#This Row],[1]:[12]])</f>
        <v>7205.5204800000001</v>
      </c>
    </row>
    <row r="915" spans="2:68" ht="51">
      <c r="B915" t="s">
        <v>384</v>
      </c>
      <c r="C915" t="str">
        <f>IFERROR(VLOOKUP(Таб[[#This Row],[Зелений Тариф ЕЦ]],Sheet6!$H$9:$I$29,2,FALSE),"")</f>
        <v>Земля</v>
      </c>
      <c r="G915" s="1" t="s">
        <v>2242</v>
      </c>
      <c r="H915" t="s">
        <v>65</v>
      </c>
      <c r="J915" s="7">
        <v>8.6530000000000005</v>
      </c>
      <c r="K915" s="8">
        <v>43775</v>
      </c>
      <c r="L915" s="8">
        <v>43813</v>
      </c>
      <c r="M915">
        <v>12</v>
      </c>
      <c r="N915" s="49" t="s">
        <v>71</v>
      </c>
      <c r="O915">
        <v>2019</v>
      </c>
      <c r="P915">
        <v>0.15029999999999999</v>
      </c>
      <c r="Q915" s="10"/>
      <c r="R915" s="11">
        <f>ROUND(Таб[[#This Row],[Зелений Тариф ЕЦ]]+Таб[[#This Row],[Зелений Тариф ЕЦ]]*Таб[[#This Row],[% надбавки]],4)</f>
        <v>0.15029999999999999</v>
      </c>
      <c r="S915" s="12"/>
      <c r="T915"/>
      <c r="BD9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278.63417111967902</v>
      </c>
      <c r="BE9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480.46009565504767</v>
      </c>
      <c r="BF9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810.57213416633886</v>
      </c>
      <c r="BG9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1152.123698764655</v>
      </c>
      <c r="BH9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1418.5012347910929</v>
      </c>
      <c r="BI9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1470.7962111889215</v>
      </c>
      <c r="BJ9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1494.4923723691873</v>
      </c>
      <c r="BK9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1291.8493388276027</v>
      </c>
      <c r="BL9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906.99099689983495</v>
      </c>
      <c r="BM9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582.59872143205598</v>
      </c>
      <c r="BN9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269.64597205130229</v>
      </c>
      <c r="BO9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227.97341273428282</v>
      </c>
      <c r="BP915">
        <f>SUM(Таб[[#This Row],[1]:[12]])</f>
        <v>10384.638360000001</v>
      </c>
    </row>
    <row r="916" spans="2:68" ht="25.5">
      <c r="B916" t="s">
        <v>384</v>
      </c>
      <c r="C916" t="str">
        <f>IFERROR(VLOOKUP(Таб[[#This Row],[Зелений Тариф ЕЦ]],Sheet6!$H$9:$I$29,2,FALSE),"")</f>
        <v>Дах</v>
      </c>
      <c r="G916" s="1" t="s">
        <v>2244</v>
      </c>
      <c r="H916" t="s">
        <v>101</v>
      </c>
      <c r="J916" s="7">
        <v>1.2649999999999999</v>
      </c>
      <c r="K916" s="8">
        <v>43791</v>
      </c>
      <c r="L916" s="8">
        <v>43813</v>
      </c>
      <c r="M916">
        <v>12</v>
      </c>
      <c r="N916" s="49" t="s">
        <v>71</v>
      </c>
      <c r="O916">
        <v>2019</v>
      </c>
      <c r="P916">
        <v>0.16370000000000001</v>
      </c>
      <c r="Q916" s="10"/>
      <c r="R916" s="11">
        <f>ROUND(Таб[[#This Row],[Зелений Тариф ЕЦ]]+Таб[[#This Row],[Зелений Тариф ЕЦ]]*Таб[[#This Row],[% надбавки]],4)</f>
        <v>0.16370000000000001</v>
      </c>
      <c r="S916" s="12"/>
      <c r="T916"/>
      <c r="BD9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40.734106837674091</v>
      </c>
      <c r="BE9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70.239456951766471</v>
      </c>
      <c r="BF9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118.49921989141551</v>
      </c>
      <c r="BG9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168.43135085372569</v>
      </c>
      <c r="BH9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207.37363480997715</v>
      </c>
      <c r="BI9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215.01874577071368</v>
      </c>
      <c r="BJ9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218.48293667479737</v>
      </c>
      <c r="BK9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188.85813170194351</v>
      </c>
      <c r="BL9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132.59489322527344</v>
      </c>
      <c r="BM9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85.171314296954904</v>
      </c>
      <c r="BN9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39.420103391297509</v>
      </c>
      <c r="BO9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33.327905594460617</v>
      </c>
      <c r="BP916">
        <f>SUM(Таб[[#This Row],[1]:[12]])</f>
        <v>1518.1517999999999</v>
      </c>
    </row>
    <row r="917" spans="2:68" ht="51">
      <c r="B917" t="s">
        <v>384</v>
      </c>
      <c r="C917" t="str">
        <f>IFERROR(VLOOKUP(Таб[[#This Row],[Зелений Тариф ЕЦ]],Sheet6!$H$9:$I$29,2,FALSE),"")</f>
        <v>Дах</v>
      </c>
      <c r="G917" s="1" t="s">
        <v>2246</v>
      </c>
      <c r="H917" t="s">
        <v>98</v>
      </c>
      <c r="J917" s="7">
        <v>0.248</v>
      </c>
      <c r="K917" s="8">
        <v>43794</v>
      </c>
      <c r="L917" s="8">
        <v>43813</v>
      </c>
      <c r="M917">
        <v>12</v>
      </c>
      <c r="N917" s="49" t="s">
        <v>71</v>
      </c>
      <c r="O917">
        <v>2019</v>
      </c>
      <c r="P917">
        <v>0.16370000000000001</v>
      </c>
      <c r="Q917" s="10"/>
      <c r="R917" s="11">
        <f>ROUND(Таб[[#This Row],[Зелений Тариф ЕЦ]]+Таб[[#This Row],[Зелений Тариф ЕЦ]]*Таб[[#This Row],[% надбавки]],4)</f>
        <v>0.16370000000000001</v>
      </c>
      <c r="S917" s="12"/>
      <c r="T917"/>
      <c r="BD9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7.9858169926823521</v>
      </c>
      <c r="BE9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13.770265078290976</v>
      </c>
      <c r="BF9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23.231467615075928</v>
      </c>
      <c r="BG9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33.020533606105914</v>
      </c>
      <c r="BH9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40.655068326382874</v>
      </c>
      <c r="BI9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42.153872688645848</v>
      </c>
      <c r="BJ9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42.833018415296252</v>
      </c>
      <c r="BK9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37.02515151152727</v>
      </c>
      <c r="BL9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25.994888157998268</v>
      </c>
      <c r="BM9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16.697617348335825</v>
      </c>
      <c r="BN9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7.7282099929184049</v>
      </c>
      <c r="BO9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6.5338502667401066</v>
      </c>
      <c r="BP917">
        <f>SUM(Таб[[#This Row],[1]:[12]])</f>
        <v>297.62975999999998</v>
      </c>
    </row>
    <row r="918" spans="2:68" ht="51">
      <c r="B918" t="s">
        <v>384</v>
      </c>
      <c r="C918" t="str">
        <f>IFERROR(VLOOKUP(Таб[[#This Row],[Зелений Тариф ЕЦ]],Sheet6!$H$9:$I$29,2,FALSE),"")</f>
        <v>Дах</v>
      </c>
      <c r="G918" s="1" t="s">
        <v>2246</v>
      </c>
      <c r="H918" t="s">
        <v>98</v>
      </c>
      <c r="J918" s="7">
        <v>0.218</v>
      </c>
      <c r="K918" s="8">
        <v>43794</v>
      </c>
      <c r="L918" s="8">
        <v>43813</v>
      </c>
      <c r="M918">
        <v>12</v>
      </c>
      <c r="N918" s="49" t="s">
        <v>71</v>
      </c>
      <c r="O918">
        <v>2019</v>
      </c>
      <c r="P918">
        <v>0.16370000000000001</v>
      </c>
      <c r="Q918" s="10"/>
      <c r="R918" s="11">
        <f>ROUND(Таб[[#This Row],[Зелений Тариф ЕЦ]]+Таб[[#This Row],[Зелений Тариф ЕЦ]]*Таб[[#This Row],[% надбавки]],4)</f>
        <v>0.16370000000000001</v>
      </c>
      <c r="S918" s="12"/>
      <c r="T918"/>
      <c r="BD9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7.0197907435675511</v>
      </c>
      <c r="BE9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12.104507205917066</v>
      </c>
      <c r="BF9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20.421209435832871</v>
      </c>
      <c r="BG9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29.026114218270521</v>
      </c>
      <c r="BH9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35.73711651270753</v>
      </c>
      <c r="BI9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37.054613895664488</v>
      </c>
      <c r="BJ9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37.651604897316858</v>
      </c>
      <c r="BK9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32.546302538358646</v>
      </c>
      <c r="BL9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22.85034523565977</v>
      </c>
      <c r="BM9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14.677744282004877</v>
      </c>
      <c r="BN9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6.7933458808718239</v>
      </c>
      <c r="BO9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5.7434651538279962</v>
      </c>
      <c r="BP918">
        <f>SUM(Таб[[#This Row],[1]:[12]])</f>
        <v>261.62616000000003</v>
      </c>
    </row>
    <row r="919" spans="2:68" ht="51">
      <c r="B919" t="s">
        <v>384</v>
      </c>
      <c r="C919" t="str">
        <f>IFERROR(VLOOKUP(Таб[[#This Row],[Зелений Тариф ЕЦ]],Sheet6!$H$9:$I$29,2,FALSE),"")</f>
        <v>Земля</v>
      </c>
      <c r="G919" s="1" t="s">
        <v>2249</v>
      </c>
      <c r="H919" t="s">
        <v>69</v>
      </c>
      <c r="J919" s="7">
        <v>9.4909999999999997</v>
      </c>
      <c r="K919" s="8">
        <v>43775</v>
      </c>
      <c r="L919" s="8">
        <v>43813</v>
      </c>
      <c r="M919">
        <v>12</v>
      </c>
      <c r="N919" s="49" t="s">
        <v>71</v>
      </c>
      <c r="O919">
        <v>2019</v>
      </c>
      <c r="P919">
        <v>0.15029999999999999</v>
      </c>
      <c r="Q919" s="10"/>
      <c r="R919" s="11">
        <f>ROUND(Таб[[#This Row],[Зелений Тариф ЕЦ]]+Таб[[#This Row],[Зелений Тариф ЕЦ]]*Таб[[#This Row],[% надбавки]],4)</f>
        <v>0.15029999999999999</v>
      </c>
      <c r="S919" s="12"/>
      <c r="T919"/>
      <c r="BD9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305.61850434495244</v>
      </c>
      <c r="BE9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526.99026555669207</v>
      </c>
      <c r="BF9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889.07201263986144</v>
      </c>
      <c r="BG9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1263.7011469981903</v>
      </c>
      <c r="BH9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1555.8760221197576</v>
      </c>
      <c r="BI9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1613.2355068062002</v>
      </c>
      <c r="BJ9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1639.2265233047447</v>
      </c>
      <c r="BK9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1416.9585201447794</v>
      </c>
      <c r="BL9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994.82856253049044</v>
      </c>
      <c r="BM9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639.02050908490037</v>
      </c>
      <c r="BN9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295.75984291447014</v>
      </c>
      <c r="BO9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250.05150355496107</v>
      </c>
      <c r="BP919">
        <f>SUM(Таб[[#This Row],[1]:[12]])</f>
        <v>11390.338920000002</v>
      </c>
    </row>
    <row r="920" spans="2:68" ht="76.5">
      <c r="B920" t="s">
        <v>384</v>
      </c>
      <c r="C920" t="str">
        <f>IFERROR(VLOOKUP(Таб[[#This Row],[Зелений Тариф ЕЦ]],Sheet6!$H$9:$I$29,2,FALSE),"")</f>
        <v>Земля</v>
      </c>
      <c r="G920" s="1" t="s">
        <v>2251</v>
      </c>
      <c r="H920" t="s">
        <v>73</v>
      </c>
      <c r="J920" s="7">
        <v>5.9349999999999996</v>
      </c>
      <c r="K920" s="8">
        <v>43802</v>
      </c>
      <c r="L920" s="8">
        <v>43813</v>
      </c>
      <c r="M920">
        <v>12</v>
      </c>
      <c r="N920" s="49" t="s">
        <v>71</v>
      </c>
      <c r="O920">
        <v>2019</v>
      </c>
      <c r="P920">
        <v>0.15029999999999999</v>
      </c>
      <c r="Q920" s="10">
        <v>0.05</v>
      </c>
      <c r="R920" s="11">
        <f>ROUND(Таб[[#This Row],[Зелений Тариф ЕЦ]]+Таб[[#This Row],[Зелений Тариф ЕЦ]]*Таб[[#This Row],[% надбавки]],4)</f>
        <v>0.1578</v>
      </c>
      <c r="S920" s="12">
        <v>43976</v>
      </c>
      <c r="T920"/>
      <c r="BD9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191.11219294987808</v>
      </c>
      <c r="BE9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329.54243241797155</v>
      </c>
      <c r="BF9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555.96274312691787</v>
      </c>
      <c r="BG9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790.22930222676837</v>
      </c>
      <c r="BH9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972.93480047210642</v>
      </c>
      <c r="BI9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1008.8033645448107</v>
      </c>
      <c r="BJ9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1025.056307640255</v>
      </c>
      <c r="BK9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886.06562185852545</v>
      </c>
      <c r="BL9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622.09540813596664</v>
      </c>
      <c r="BM9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399.59822162247224</v>
      </c>
      <c r="BN9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184.94728349988202</v>
      </c>
      <c r="BO9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156.36452150444566</v>
      </c>
      <c r="BP920">
        <f>SUM(Таб[[#This Row],[1]:[12]])</f>
        <v>7122.7122000000008</v>
      </c>
    </row>
    <row r="921" spans="2:68" ht="38.25">
      <c r="B921" t="s">
        <v>384</v>
      </c>
      <c r="C921" t="str">
        <f>IFERROR(VLOOKUP(Таб[[#This Row],[Зелений Тариф ЕЦ]],Sheet6!$H$9:$I$29,2,FALSE),"")</f>
        <v>Дах</v>
      </c>
      <c r="G921" s="1" t="s">
        <v>1961</v>
      </c>
      <c r="H921" t="s">
        <v>321</v>
      </c>
      <c r="J921" s="7">
        <v>0.33300000000000002</v>
      </c>
      <c r="K921" s="8">
        <v>43796</v>
      </c>
      <c r="L921" s="8">
        <v>43813</v>
      </c>
      <c r="M921">
        <v>12</v>
      </c>
      <c r="N921" s="49" t="s">
        <v>71</v>
      </c>
      <c r="O921">
        <v>2019</v>
      </c>
      <c r="P921">
        <v>0.16370000000000001</v>
      </c>
      <c r="Q921" s="10"/>
      <c r="R921" s="11">
        <f>ROUND(Таб[[#This Row],[Зелений Тариф ЕЦ]]+Таб[[#This Row],[Зелений Тариф ЕЦ]]*Таб[[#This Row],[% надбавки]],4)</f>
        <v>0.16370000000000001</v>
      </c>
      <c r="S921" s="12"/>
      <c r="T921"/>
      <c r="BD9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10.722891365174288</v>
      </c>
      <c r="BE9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18.489912383350383</v>
      </c>
      <c r="BF9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31.193865789597922</v>
      </c>
      <c r="BG9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44.338055204972854</v>
      </c>
      <c r="BH9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54.589265131796367</v>
      </c>
      <c r="BI9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56.601772602093014</v>
      </c>
      <c r="BJ9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57.513690049571167</v>
      </c>
      <c r="BK9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49.715223602171697</v>
      </c>
      <c r="BL9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34.904426437957355</v>
      </c>
      <c r="BM9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22.420591036273507</v>
      </c>
      <c r="BN9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10.376991643717053</v>
      </c>
      <c r="BO9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8.7732747533244169</v>
      </c>
      <c r="BP921">
        <f>SUM(Таб[[#This Row],[1]:[12]])</f>
        <v>399.63996000000003</v>
      </c>
    </row>
    <row r="922" spans="2:68" ht="38.25">
      <c r="B922" t="s">
        <v>384</v>
      </c>
      <c r="C922" t="str">
        <f>IFERROR(VLOOKUP(Таб[[#This Row],[Зелений Тариф ЕЦ]],Sheet6!$H$9:$I$29,2,FALSE),"")</f>
        <v>Дах</v>
      </c>
      <c r="G922" s="1" t="s">
        <v>2254</v>
      </c>
      <c r="H922" t="s">
        <v>107</v>
      </c>
      <c r="J922" s="7">
        <v>0.374</v>
      </c>
      <c r="K922" s="8">
        <v>43740</v>
      </c>
      <c r="L922" s="8">
        <v>43813</v>
      </c>
      <c r="M922">
        <v>12</v>
      </c>
      <c r="N922" s="49" t="s">
        <v>71</v>
      </c>
      <c r="O922">
        <v>2019</v>
      </c>
      <c r="P922">
        <v>0.16370000000000001</v>
      </c>
      <c r="Q922" s="10"/>
      <c r="R922" s="11">
        <f>ROUND(Таб[[#This Row],[Зелений Тариф ЕЦ]]+Таб[[#This Row],[Зелений Тариф ЕЦ]]*Таб[[#This Row],[% надбавки]],4)</f>
        <v>0.16370000000000001</v>
      </c>
      <c r="S922" s="12"/>
      <c r="T922"/>
      <c r="BD9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12.043127238964516</v>
      </c>
      <c r="BE9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20.766448142261389</v>
      </c>
      <c r="BF9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35.034551967896761</v>
      </c>
      <c r="BG9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49.797095035014557</v>
      </c>
      <c r="BH9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61.310465943819338</v>
      </c>
      <c r="BI9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63.570759619167518</v>
      </c>
      <c r="BJ9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64.594955190809671</v>
      </c>
      <c r="BK9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55.836317198835481</v>
      </c>
      <c r="BL9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39.201968431819978</v>
      </c>
      <c r="BM9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25.181084226925798</v>
      </c>
      <c r="BN9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11.654639263514047</v>
      </c>
      <c r="BO9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9.8534677409709648</v>
      </c>
      <c r="BP922">
        <f>SUM(Таб[[#This Row],[1]:[12]])</f>
        <v>448.8448800000001</v>
      </c>
    </row>
    <row r="923" spans="2:68" ht="51">
      <c r="B923" t="s">
        <v>384</v>
      </c>
      <c r="C923" t="str">
        <f>IFERROR(VLOOKUP(Таб[[#This Row],[Зелений Тариф ЕЦ]],Sheet6!$H$9:$I$29,2,FALSE),"")</f>
        <v>Земля</v>
      </c>
      <c r="D923" t="s">
        <v>3391</v>
      </c>
      <c r="F923" t="s">
        <v>3392</v>
      </c>
      <c r="G923" s="1" t="s">
        <v>2256</v>
      </c>
      <c r="H923" t="s">
        <v>107</v>
      </c>
      <c r="J923" s="7">
        <v>22.981000000000002</v>
      </c>
      <c r="K923" s="8"/>
      <c r="L923" s="8">
        <v>43816</v>
      </c>
      <c r="M923">
        <v>12</v>
      </c>
      <c r="N923" s="49" t="s">
        <v>71</v>
      </c>
      <c r="O923">
        <v>2019</v>
      </c>
      <c r="P923">
        <v>0.15029999999999999</v>
      </c>
      <c r="Q923" s="10"/>
      <c r="R923" s="11">
        <f>ROUND(Таб[[#This Row],[Зелений Тариф ЕЦ]]+Таб[[#This Row],[Зелений Тариф ЕЦ]]*Таб[[#This Row],[% надбавки]],4)</f>
        <v>0.15029999999999999</v>
      </c>
      <c r="S923" s="12"/>
      <c r="T923"/>
      <c r="BD9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740.00830769690788</v>
      </c>
      <c r="BE9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1276.0260555008263</v>
      </c>
      <c r="BF9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2152.7514405728225</v>
      </c>
      <c r="BG9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3059.8583983948388</v>
      </c>
      <c r="BH9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3767.3150210024396</v>
      </c>
      <c r="BI9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3906.2022107168154</v>
      </c>
      <c r="BJ9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3969.1354685561409</v>
      </c>
      <c r="BK9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3430.9476084129356</v>
      </c>
      <c r="BL9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2408.8246966087027</v>
      </c>
      <c r="BM9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1547.2900979117162</v>
      </c>
      <c r="BN9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716.13707196474957</v>
      </c>
      <c r="BO9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605.4613426611063</v>
      </c>
      <c r="BP923">
        <f>SUM(Таб[[#This Row],[1]:[12]])</f>
        <v>27579.957719999999</v>
      </c>
    </row>
    <row r="924" spans="2:68" ht="51">
      <c r="B924" t="s">
        <v>384</v>
      </c>
      <c r="C924" t="str">
        <f>IFERROR(VLOOKUP(Таб[[#This Row],[Зелений Тариф ЕЦ]],Sheet6!$H$9:$I$29,2,FALSE),"")</f>
        <v>Земля</v>
      </c>
      <c r="D924" t="s">
        <v>3391</v>
      </c>
      <c r="F924" t="s">
        <v>3392</v>
      </c>
      <c r="G924" s="1" t="s">
        <v>2258</v>
      </c>
      <c r="H924" t="s">
        <v>107</v>
      </c>
      <c r="J924" s="7">
        <v>23.036999999999999</v>
      </c>
      <c r="K924" s="8"/>
      <c r="L924" s="8">
        <v>43816</v>
      </c>
      <c r="M924">
        <v>12</v>
      </c>
      <c r="N924" s="49" t="s">
        <v>71</v>
      </c>
      <c r="O924">
        <v>2019</v>
      </c>
      <c r="P924">
        <v>0.15029999999999999</v>
      </c>
      <c r="Q924" s="10"/>
      <c r="R924" s="11">
        <f>ROUND(Таб[[#This Row],[Зелений Тариф ЕЦ]]+Таб[[#This Row],[Зелений Тариф ЕЦ]]*Таб[[#This Row],[% надбавки]],4)</f>
        <v>0.15029999999999999</v>
      </c>
      <c r="S924" s="12"/>
      <c r="T924"/>
      <c r="BD9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741.81155669525538</v>
      </c>
      <c r="BE9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1279.1354701959242</v>
      </c>
      <c r="BF9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2157.9972558407426</v>
      </c>
      <c r="BG9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3067.3146479187976</v>
      </c>
      <c r="BH9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3776.4951977212995</v>
      </c>
      <c r="BI9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3915.7208271303798</v>
      </c>
      <c r="BJ9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3978.8074404563695</v>
      </c>
      <c r="BK9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3439.3081264961838</v>
      </c>
      <c r="BL9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2414.6945100637345</v>
      </c>
      <c r="BM9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1551.0605276355338</v>
      </c>
      <c r="BN9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717.88215164056965</v>
      </c>
      <c r="BO9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606.93672820520885</v>
      </c>
      <c r="BP924">
        <f>SUM(Таб[[#This Row],[1]:[12]])</f>
        <v>27647.16444</v>
      </c>
    </row>
    <row r="925" spans="2:68" ht="51">
      <c r="B925" t="s">
        <v>384</v>
      </c>
      <c r="C925" t="str">
        <f>IFERROR(VLOOKUP(Таб[[#This Row],[Зелений Тариф ЕЦ]],Sheet6!$H$9:$I$29,2,FALSE),"")</f>
        <v>Земля</v>
      </c>
      <c r="D925" t="s">
        <v>3391</v>
      </c>
      <c r="F925" t="s">
        <v>3392</v>
      </c>
      <c r="G925" s="1" t="s">
        <v>2256</v>
      </c>
      <c r="H925" t="s">
        <v>107</v>
      </c>
      <c r="J925" s="7">
        <v>22.981000000000002</v>
      </c>
      <c r="K925" s="8"/>
      <c r="L925" s="8">
        <v>43816</v>
      </c>
      <c r="M925">
        <v>12</v>
      </c>
      <c r="N925" s="49" t="s">
        <v>71</v>
      </c>
      <c r="O925">
        <v>2019</v>
      </c>
      <c r="P925">
        <v>0.15029999999999999</v>
      </c>
      <c r="Q925" s="10"/>
      <c r="R925" s="11">
        <f>ROUND(Таб[[#This Row],[Зелений Тариф ЕЦ]]+Таб[[#This Row],[Зелений Тариф ЕЦ]]*Таб[[#This Row],[% надбавки]],4)</f>
        <v>0.15029999999999999</v>
      </c>
      <c r="S925" s="12"/>
      <c r="T925"/>
      <c r="BD9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740.00830769690788</v>
      </c>
      <c r="BE9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1276.0260555008263</v>
      </c>
      <c r="BF9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2152.7514405728225</v>
      </c>
      <c r="BG9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3059.8583983948388</v>
      </c>
      <c r="BH9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3767.3150210024396</v>
      </c>
      <c r="BI9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3906.2022107168154</v>
      </c>
      <c r="BJ9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3969.1354685561409</v>
      </c>
      <c r="BK9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3430.9476084129356</v>
      </c>
      <c r="BL9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2408.8246966087027</v>
      </c>
      <c r="BM9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1547.2900979117162</v>
      </c>
      <c r="BN9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716.13707196474957</v>
      </c>
      <c r="BO9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605.4613426611063</v>
      </c>
      <c r="BP925">
        <f>SUM(Таб[[#This Row],[1]:[12]])</f>
        <v>27579.957719999999</v>
      </c>
    </row>
    <row r="926" spans="2:68" ht="38.25">
      <c r="B926" t="s">
        <v>384</v>
      </c>
      <c r="C926" t="str">
        <f>IFERROR(VLOOKUP(Таб[[#This Row],[Зелений Тариф ЕЦ]],Sheet6!$H$9:$I$29,2,FALSE),"")</f>
        <v>Земля</v>
      </c>
      <c r="G926" s="1" t="s">
        <v>2261</v>
      </c>
      <c r="H926" t="s">
        <v>136</v>
      </c>
      <c r="J926" s="7">
        <v>4.7190000000000003</v>
      </c>
      <c r="K926" s="8"/>
      <c r="L926" s="8">
        <v>43816</v>
      </c>
      <c r="M926">
        <v>12</v>
      </c>
      <c r="N926" s="49" t="s">
        <v>71</v>
      </c>
      <c r="O926">
        <v>2019</v>
      </c>
      <c r="P926">
        <v>0.15029999999999999</v>
      </c>
      <c r="Q926" s="10"/>
      <c r="R926" s="11">
        <f>ROUND(Таб[[#This Row],[Зелений Тариф ЕЦ]]+Таб[[#This Row],[Зелений Тариф ЕЦ]]*Таб[[#This Row],[% надбавки]],4)</f>
        <v>0.15029999999999999</v>
      </c>
      <c r="S926" s="12"/>
      <c r="T926"/>
      <c r="BD9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151.95592898575816</v>
      </c>
      <c r="BE9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262.02371332441578</v>
      </c>
      <c r="BF9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442.0536115949327</v>
      </c>
      <c r="BG9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628.32216970650711</v>
      </c>
      <c r="BH9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773.59382029113226</v>
      </c>
      <c r="BI9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802.11340813596667</v>
      </c>
      <c r="BJ9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815.0363463781573</v>
      </c>
      <c r="BK9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704.52294347942404</v>
      </c>
      <c r="BL9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494.63660168384627</v>
      </c>
      <c r="BM9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317.72603333385791</v>
      </c>
      <c r="BN9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147.05412482492724</v>
      </c>
      <c r="BO9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124.32757826107483</v>
      </c>
      <c r="BP926">
        <f>SUM(Таб[[#This Row],[1]:[12]])</f>
        <v>5663.3662800000011</v>
      </c>
    </row>
    <row r="927" spans="2:68" ht="38.25">
      <c r="B927" t="s">
        <v>384</v>
      </c>
      <c r="C927" t="str">
        <f>IFERROR(VLOOKUP(Таб[[#This Row],[Зелений Тариф ЕЦ]],Sheet6!$H$9:$I$29,2,FALSE),"")</f>
        <v>Земля</v>
      </c>
      <c r="G927" s="1" t="s">
        <v>2263</v>
      </c>
      <c r="H927" t="s">
        <v>1658</v>
      </c>
      <c r="J927" s="7">
        <v>3.5960000000000001</v>
      </c>
      <c r="K927" s="8"/>
      <c r="L927" s="8">
        <v>43816</v>
      </c>
      <c r="M927">
        <v>12</v>
      </c>
      <c r="N927" s="49" t="s">
        <v>71</v>
      </c>
      <c r="O927">
        <v>2019</v>
      </c>
      <c r="P927">
        <v>0.15029999999999999</v>
      </c>
      <c r="Q927" s="10"/>
      <c r="R927" s="11">
        <f>ROUND(Таб[[#This Row],[Зелений Тариф ЕЦ]]+Таб[[#This Row],[Зелений Тариф ЕЦ]]*Таб[[#This Row],[% надбавки]],4)</f>
        <v>0.15029999999999999</v>
      </c>
      <c r="S927" s="12"/>
      <c r="T927"/>
      <c r="BD9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115.7943463938941</v>
      </c>
      <c r="BE9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199.66884363521916</v>
      </c>
      <c r="BF9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336.85628041860099</v>
      </c>
      <c r="BG9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478.79773728853564</v>
      </c>
      <c r="BH9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589.49849073255177</v>
      </c>
      <c r="BI9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611.2311539853647</v>
      </c>
      <c r="BJ9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621.07876702179556</v>
      </c>
      <c r="BK9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536.86469691714547</v>
      </c>
      <c r="BL9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376.92587829097494</v>
      </c>
      <c r="BM9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242.11545155086947</v>
      </c>
      <c r="BN9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112.05904489731687</v>
      </c>
      <c r="BO9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94.740828867731537</v>
      </c>
      <c r="BP927">
        <f>SUM(Таб[[#This Row],[1]:[12]])</f>
        <v>4315.6315200000008</v>
      </c>
    </row>
    <row r="928" spans="2:68" ht="51">
      <c r="B928" t="s">
        <v>384</v>
      </c>
      <c r="C928" t="str">
        <f>IFERROR(VLOOKUP(Таб[[#This Row],[Зелений Тариф ЕЦ]],Sheet6!$H$9:$I$29,2,FALSE),"")</f>
        <v>Земля</v>
      </c>
      <c r="G928" s="1" t="s">
        <v>2265</v>
      </c>
      <c r="H928" t="s">
        <v>185</v>
      </c>
      <c r="J928" s="7">
        <v>0.29699999999999999</v>
      </c>
      <c r="K928" s="8"/>
      <c r="L928" s="8">
        <v>43816</v>
      </c>
      <c r="M928">
        <v>12</v>
      </c>
      <c r="N928" s="49" t="s">
        <v>71</v>
      </c>
      <c r="O928">
        <v>2019</v>
      </c>
      <c r="P928">
        <v>0.15029999999999999</v>
      </c>
      <c r="Q928" s="10"/>
      <c r="R928" s="11">
        <f>ROUND(Таб[[#This Row],[Зелений Тариф ЕЦ]]+Таб[[#This Row],[Зелений Тариф ЕЦ]]*Таб[[#This Row],[% надбавки]],4)</f>
        <v>0.15029999999999999</v>
      </c>
      <c r="S928" s="12"/>
      <c r="T928"/>
      <c r="BD9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9.5636598662365255</v>
      </c>
      <c r="BE9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16.491002936501694</v>
      </c>
      <c r="BF9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27.821555974506254</v>
      </c>
      <c r="BG9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39.544751939570382</v>
      </c>
      <c r="BH9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48.687722955385944</v>
      </c>
      <c r="BI9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50.482662050515387</v>
      </c>
      <c r="BJ9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51.295993827995908</v>
      </c>
      <c r="BK9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44.340604834369344</v>
      </c>
      <c r="BL9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31.130974931151155</v>
      </c>
      <c r="BM9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19.996743356676369</v>
      </c>
      <c r="BN9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9.2551547092611539</v>
      </c>
      <c r="BO9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7.8248126178298847</v>
      </c>
      <c r="BP928">
        <f>SUM(Таб[[#This Row],[1]:[12]])</f>
        <v>356.43563999999998</v>
      </c>
    </row>
    <row r="929" spans="2:68" ht="63.75">
      <c r="B929" t="s">
        <v>384</v>
      </c>
      <c r="C929" t="str">
        <f>IFERROR(VLOOKUP(Таб[[#This Row],[Зелений Тариф ЕЦ]],Sheet6!$H$9:$I$29,2,FALSE),"")</f>
        <v>Земля</v>
      </c>
      <c r="G929" s="1" t="s">
        <v>2267</v>
      </c>
      <c r="H929" t="s">
        <v>233</v>
      </c>
      <c r="J929" s="7">
        <v>4.4550000000000001</v>
      </c>
      <c r="K929" s="8"/>
      <c r="L929" s="8">
        <v>43816</v>
      </c>
      <c r="M929">
        <v>12</v>
      </c>
      <c r="N929" s="49" t="s">
        <v>71</v>
      </c>
      <c r="O929">
        <v>2019</v>
      </c>
      <c r="P929">
        <v>0.15029999999999999</v>
      </c>
      <c r="Q929" s="10"/>
      <c r="R929" s="11">
        <f>ROUND(Таб[[#This Row],[Зелений Тариф ЕЦ]]+Таб[[#This Row],[Зелений Тариф ЕЦ]]*Таб[[#This Row],[% надбавки]],4)</f>
        <v>0.15029999999999999</v>
      </c>
      <c r="S929" s="12"/>
      <c r="T929"/>
      <c r="BD9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143.45489799354792</v>
      </c>
      <c r="BE9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247.36504404752537</v>
      </c>
      <c r="BF9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417.32333961759377</v>
      </c>
      <c r="BG9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593.17127909355577</v>
      </c>
      <c r="BH9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730.31584433078922</v>
      </c>
      <c r="BI9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757.2399307577308</v>
      </c>
      <c r="BJ9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769.43990741993866</v>
      </c>
      <c r="BK9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665.10907251554022</v>
      </c>
      <c r="BL9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466.96462396726736</v>
      </c>
      <c r="BM9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299.95115035014555</v>
      </c>
      <c r="BN9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138.82732063891734</v>
      </c>
      <c r="BO9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117.37218926744828</v>
      </c>
      <c r="BP929">
        <f>SUM(Таб[[#This Row],[1]:[12]])</f>
        <v>5346.5346000000009</v>
      </c>
    </row>
    <row r="930" spans="2:68" ht="51">
      <c r="B930" t="s">
        <v>384</v>
      </c>
      <c r="C930" t="str">
        <f>IFERROR(VLOOKUP(Таб[[#This Row],[Зелений Тариф ЕЦ]],Sheet6!$H$9:$I$29,2,FALSE),"")</f>
        <v>Земля</v>
      </c>
      <c r="G930" s="1" t="s">
        <v>2269</v>
      </c>
      <c r="H930" t="s">
        <v>107</v>
      </c>
      <c r="J930" s="7">
        <v>8.9510000000000005</v>
      </c>
      <c r="K930" s="8"/>
      <c r="L930" s="8">
        <v>43816</v>
      </c>
      <c r="M930">
        <v>12</v>
      </c>
      <c r="N930" s="49" t="s">
        <v>71</v>
      </c>
      <c r="O930">
        <v>2019</v>
      </c>
      <c r="P930">
        <v>0.15029999999999999</v>
      </c>
      <c r="Q930" s="10"/>
      <c r="R930" s="11">
        <f>ROUND(Таб[[#This Row],[Зелений Тариф ЕЦ]]+Таб[[#This Row],[Зелений Тариф ЕЦ]]*Таб[[#This Row],[% надбавки]],4)</f>
        <v>0.15029999999999999</v>
      </c>
      <c r="S930" s="12"/>
      <c r="T930"/>
      <c r="BD9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288.23003186088602</v>
      </c>
      <c r="BE9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497.00662385396174</v>
      </c>
      <c r="BF9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838.4873654134866</v>
      </c>
      <c r="BG9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1191.8015980171531</v>
      </c>
      <c r="BH9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1467.3528894736014</v>
      </c>
      <c r="BI9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1521.448848532536</v>
      </c>
      <c r="BJ9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1545.9610799811157</v>
      </c>
      <c r="BK9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1336.3392386277444</v>
      </c>
      <c r="BL9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938.22678992839735</v>
      </c>
      <c r="BM9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602.66279389094348</v>
      </c>
      <c r="BN9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278.93228889763168</v>
      </c>
      <c r="BO9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235.8245715225431</v>
      </c>
      <c r="BP930">
        <f>SUM(Таб[[#This Row],[1]:[12]])</f>
        <v>10742.274120000004</v>
      </c>
    </row>
    <row r="931" spans="2:68" ht="51">
      <c r="B931" t="s">
        <v>384</v>
      </c>
      <c r="C931" t="str">
        <f>IFERROR(VLOOKUP(Таб[[#This Row],[Зелений Тариф ЕЦ]],Sheet6!$H$9:$I$29,2,FALSE),"")</f>
        <v>Дах</v>
      </c>
      <c r="G931" s="1" t="s">
        <v>2271</v>
      </c>
      <c r="H931" t="s">
        <v>172</v>
      </c>
      <c r="J931" s="7">
        <v>0.46300000000000002</v>
      </c>
      <c r="K931" s="8"/>
      <c r="L931" s="8">
        <v>43816</v>
      </c>
      <c r="M931">
        <v>12</v>
      </c>
      <c r="N931" s="49" t="s">
        <v>71</v>
      </c>
      <c r="O931">
        <v>2019</v>
      </c>
      <c r="P931">
        <v>0.16370000000000001</v>
      </c>
      <c r="Q931" s="10"/>
      <c r="R931" s="11">
        <f>ROUND(Таб[[#This Row],[Зелений Тариф ЕЦ]]+Таб[[#This Row],[Зелений Тариф ЕЦ]]*Таб[[#This Row],[% надбавки]],4)</f>
        <v>0.16370000000000001</v>
      </c>
      <c r="S931" s="12"/>
      <c r="T931"/>
      <c r="BD9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14.909005111338425</v>
      </c>
      <c r="BE9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25.70819649697065</v>
      </c>
      <c r="BF9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43.371651232984505</v>
      </c>
      <c r="BG9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61.647205885592896</v>
      </c>
      <c r="BH9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75.900389657722883</v>
      </c>
      <c r="BI9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78.698560705012198</v>
      </c>
      <c r="BJ9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79.966481960815173</v>
      </c>
      <c r="BK9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69.123569152569047</v>
      </c>
      <c r="BL9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48.530779101424194</v>
      </c>
      <c r="BM9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31.173374323707609</v>
      </c>
      <c r="BN9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14.428069462585572</v>
      </c>
      <c r="BO9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12.198276909276892</v>
      </c>
      <c r="BP931">
        <f>SUM(Таб[[#This Row],[1]:[12]])</f>
        <v>555.65556000000004</v>
      </c>
    </row>
    <row r="932" spans="2:68" ht="51">
      <c r="B932" t="s">
        <v>384</v>
      </c>
      <c r="C932" t="str">
        <f>IFERROR(VLOOKUP(Таб[[#This Row],[Зелений Тариф ЕЦ]],Sheet6!$H$9:$I$29,2,FALSE),"")</f>
        <v>Земля</v>
      </c>
      <c r="G932" s="1" t="s">
        <v>2273</v>
      </c>
      <c r="H932" t="s">
        <v>62</v>
      </c>
      <c r="J932" s="7">
        <v>0.1</v>
      </c>
      <c r="K932" s="8"/>
      <c r="L932" s="8">
        <v>43816</v>
      </c>
      <c r="M932">
        <v>12</v>
      </c>
      <c r="N932" s="49" t="s">
        <v>71</v>
      </c>
      <c r="O932">
        <v>2019</v>
      </c>
      <c r="P932">
        <v>0.15029999999999999</v>
      </c>
      <c r="Q932" s="10"/>
      <c r="R932" s="11">
        <f>ROUND(Таб[[#This Row],[Зелений Тариф ЕЦ]]+Таб[[#This Row],[Зелений Тариф ЕЦ]]*Таб[[#This Row],[% надбавки]],4)</f>
        <v>0.15029999999999999</v>
      </c>
      <c r="S932" s="12"/>
      <c r="T932"/>
      <c r="BD9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3.2200874970493363</v>
      </c>
      <c r="BE9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5.5525262412463618</v>
      </c>
      <c r="BF9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9.3675272641435203</v>
      </c>
      <c r="BG9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13.314731292784639</v>
      </c>
      <c r="BH9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16.393172712251161</v>
      </c>
      <c r="BI9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16.997529309937839</v>
      </c>
      <c r="BJ9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17.271378393264616</v>
      </c>
      <c r="BK9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14.929496577228736</v>
      </c>
      <c r="BL9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10.481809741128338</v>
      </c>
      <c r="BM9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6.7329102211031557</v>
      </c>
      <c r="BN9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3.116213706821938</v>
      </c>
      <c r="BO9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2.6346170430403655</v>
      </c>
      <c r="BP932">
        <f>SUM(Таб[[#This Row],[1]:[12]])</f>
        <v>120.01199999999999</v>
      </c>
    </row>
    <row r="933" spans="2:68" ht="38.25">
      <c r="B933" t="s">
        <v>384</v>
      </c>
      <c r="C933" t="str">
        <f>IFERROR(VLOOKUP(Таб[[#This Row],[Зелений Тариф ЕЦ]],Sheet6!$H$9:$I$29,2,FALSE),"")</f>
        <v>Дах</v>
      </c>
      <c r="G933" s="1" t="s">
        <v>2275</v>
      </c>
      <c r="H933" t="s">
        <v>73</v>
      </c>
      <c r="J933" s="7">
        <v>0.185</v>
      </c>
      <c r="K933" s="8"/>
      <c r="L933" s="8">
        <v>43816</v>
      </c>
      <c r="M933">
        <v>12</v>
      </c>
      <c r="N933" s="49" t="s">
        <v>71</v>
      </c>
      <c r="O933">
        <v>2019</v>
      </c>
      <c r="P933">
        <v>0.16370000000000001</v>
      </c>
      <c r="Q933" s="10"/>
      <c r="R933" s="11">
        <f>ROUND(Таб[[#This Row],[Зелений Тариф ЕЦ]]+Таб[[#This Row],[Зелений Тариф ЕЦ]]*Таб[[#This Row],[% надбавки]],4)</f>
        <v>0.16370000000000001</v>
      </c>
      <c r="S933" s="12"/>
      <c r="T933"/>
      <c r="BD9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5.9571618695412711</v>
      </c>
      <c r="BE9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10.272173546305767</v>
      </c>
      <c r="BF9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17.329925438665512</v>
      </c>
      <c r="BG9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24.632252891651582</v>
      </c>
      <c r="BH9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30.327369517664643</v>
      </c>
      <c r="BI9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31.445429223385002</v>
      </c>
      <c r="BJ9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31.952050027539538</v>
      </c>
      <c r="BK9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27.61956866787316</v>
      </c>
      <c r="BL9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19.391348021087421</v>
      </c>
      <c r="BM9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12.455883909040836</v>
      </c>
      <c r="BN9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5.7649953576205846</v>
      </c>
      <c r="BO9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4.8740415296246749</v>
      </c>
      <c r="BP933">
        <f>SUM(Таб[[#This Row],[1]:[12]])</f>
        <v>222.02219999999997</v>
      </c>
    </row>
    <row r="934" spans="2:68" ht="51">
      <c r="B934" t="s">
        <v>384</v>
      </c>
      <c r="C934" t="str">
        <f>IFERROR(VLOOKUP(Таб[[#This Row],[Зелений Тариф ЕЦ]],Sheet6!$H$9:$I$29,2,FALSE),"")</f>
        <v>Дах</v>
      </c>
      <c r="G934" s="1" t="s">
        <v>2277</v>
      </c>
      <c r="H934" t="s">
        <v>98</v>
      </c>
      <c r="J934" s="7">
        <v>1.403</v>
      </c>
      <c r="K934" s="8"/>
      <c r="L934" s="8">
        <v>43816</v>
      </c>
      <c r="M934">
        <v>12</v>
      </c>
      <c r="N934" s="49" t="s">
        <v>71</v>
      </c>
      <c r="O934">
        <v>2019</v>
      </c>
      <c r="P934">
        <v>0.16370000000000001</v>
      </c>
      <c r="Q934" s="10"/>
      <c r="R934" s="11">
        <f>ROUND(Таб[[#This Row],[Зелений Тариф ЕЦ]]+Таб[[#This Row],[Зелений Тариф ЕЦ]]*Таб[[#This Row],[% надбавки]],4)</f>
        <v>0.16370000000000001</v>
      </c>
      <c r="S934" s="12"/>
      <c r="T934"/>
      <c r="BD9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45.177827583602181</v>
      </c>
      <c r="BE9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77.901943164686443</v>
      </c>
      <c r="BF9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131.42640751593359</v>
      </c>
      <c r="BG9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186.80568003776852</v>
      </c>
      <c r="BH9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229.9962131528838</v>
      </c>
      <c r="BI9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238.47533621842788</v>
      </c>
      <c r="BJ9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242.31743885750254</v>
      </c>
      <c r="BK9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209.46083697851918</v>
      </c>
      <c r="BL9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147.05979066803053</v>
      </c>
      <c r="BM9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94.46273040207727</v>
      </c>
      <c r="BN9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43.720478306711783</v>
      </c>
      <c r="BO9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36.963677113856328</v>
      </c>
      <c r="BP934">
        <f>SUM(Таб[[#This Row],[1]:[12]])</f>
        <v>1683.7683600000003</v>
      </c>
    </row>
    <row r="935" spans="2:68" ht="38.25">
      <c r="B935" t="s">
        <v>384</v>
      </c>
      <c r="C935" t="str">
        <f>IFERROR(VLOOKUP(Таб[[#This Row],[Зелений Тариф ЕЦ]],Sheet6!$H$9:$I$29,2,FALSE),"")</f>
        <v>Земля</v>
      </c>
      <c r="D935" t="s">
        <v>3365</v>
      </c>
      <c r="E935" t="s">
        <v>3363</v>
      </c>
      <c r="F935" t="s">
        <v>3364</v>
      </c>
      <c r="G935" s="1" t="s">
        <v>2279</v>
      </c>
      <c r="H935" t="s">
        <v>198</v>
      </c>
      <c r="J935" s="7">
        <v>20.013999999999999</v>
      </c>
      <c r="K935" s="8">
        <v>43806</v>
      </c>
      <c r="L935" s="8">
        <v>43819</v>
      </c>
      <c r="M935">
        <v>12</v>
      </c>
      <c r="N935" s="49" t="s">
        <v>71</v>
      </c>
      <c r="O935">
        <v>2019</v>
      </c>
      <c r="P935">
        <v>0.15029999999999999</v>
      </c>
      <c r="Q935" s="10"/>
      <c r="R935" s="11">
        <f>ROUND(Таб[[#This Row],[Зелений Тариф ЕЦ]]+Таб[[#This Row],[Зелений Тариф ЕЦ]]*Таб[[#This Row],[% надбавки]],4)</f>
        <v>0.15029999999999999</v>
      </c>
      <c r="S935" s="12"/>
      <c r="T935"/>
      <c r="BD9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644.468311659454</v>
      </c>
      <c r="BE9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1111.2826019230465</v>
      </c>
      <c r="BF9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1874.816906645684</v>
      </c>
      <c r="BG9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2664.8103209379178</v>
      </c>
      <c r="BH9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3280.9295866299476</v>
      </c>
      <c r="BI9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3401.8855160909593</v>
      </c>
      <c r="BJ9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3456.6936716279797</v>
      </c>
      <c r="BK9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2987.9894449665589</v>
      </c>
      <c r="BL9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2097.8294015894248</v>
      </c>
      <c r="BM9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1347.5246516515854</v>
      </c>
      <c r="BN9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623.67901128334256</v>
      </c>
      <c r="BO9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527.2922549940987</v>
      </c>
      <c r="BP935">
        <f>SUM(Таб[[#This Row],[1]:[12]])</f>
        <v>24019.201680000002</v>
      </c>
    </row>
    <row r="936" spans="2:68" ht="25.5">
      <c r="B936" t="s">
        <v>384</v>
      </c>
      <c r="C936" t="str">
        <f>IFERROR(VLOOKUP(Таб[[#This Row],[Зелений Тариф ЕЦ]],Sheet6!$H$9:$I$29,2,FALSE),"")</f>
        <v>Земля</v>
      </c>
      <c r="D936" t="s">
        <v>3365</v>
      </c>
      <c r="E936" t="s">
        <v>3363</v>
      </c>
      <c r="F936" t="s">
        <v>3364</v>
      </c>
      <c r="G936" s="1" t="s">
        <v>2281</v>
      </c>
      <c r="H936" t="s">
        <v>198</v>
      </c>
      <c r="J936" s="7">
        <v>19.515000000000001</v>
      </c>
      <c r="K936" s="8">
        <v>43805</v>
      </c>
      <c r="L936" s="8">
        <v>43819</v>
      </c>
      <c r="M936">
        <v>12</v>
      </c>
      <c r="N936" s="49" t="s">
        <v>71</v>
      </c>
      <c r="O936">
        <v>2019</v>
      </c>
      <c r="P936">
        <v>0.15029999999999999</v>
      </c>
      <c r="Q936" s="10"/>
      <c r="R936" s="11">
        <f>ROUND(Таб[[#This Row],[Зелений Тариф ЕЦ]]+Таб[[#This Row],[Зелений Тариф ЕЦ]]*Таб[[#This Row],[% надбавки]],4)</f>
        <v>0.15029999999999999</v>
      </c>
      <c r="S936" s="12"/>
      <c r="T936"/>
      <c r="BD9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628.40007504917787</v>
      </c>
      <c r="BE9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1083.5754959792273</v>
      </c>
      <c r="BF9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1828.0729455976077</v>
      </c>
      <c r="BG9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2598.3698117869226</v>
      </c>
      <c r="BH9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3199.1276547958141</v>
      </c>
      <c r="BI9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3317.0678448343692</v>
      </c>
      <c r="BJ9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3370.5094934455897</v>
      </c>
      <c r="BK9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2913.4912570461879</v>
      </c>
      <c r="BL9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2045.5251709811946</v>
      </c>
      <c r="BM9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1313.9274296482808</v>
      </c>
      <c r="BN9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608.12910488630109</v>
      </c>
      <c r="BO9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514.14551594932732</v>
      </c>
      <c r="BP936">
        <f>SUM(Таб[[#This Row],[1]:[12]])</f>
        <v>23420.341800000002</v>
      </c>
    </row>
    <row r="937" spans="2:68" ht="38.25">
      <c r="B937" t="s">
        <v>384</v>
      </c>
      <c r="C937" t="str">
        <f>IFERROR(VLOOKUP(Таб[[#This Row],[Зелений Тариф ЕЦ]],Sheet6!$H$9:$I$29,2,FALSE),"")</f>
        <v>Земля</v>
      </c>
      <c r="D937" t="s">
        <v>3365</v>
      </c>
      <c r="E937" t="s">
        <v>3363</v>
      </c>
      <c r="F937" t="s">
        <v>3364</v>
      </c>
      <c r="G937" s="1" t="s">
        <v>2283</v>
      </c>
      <c r="H937" t="s">
        <v>198</v>
      </c>
      <c r="J937" s="7">
        <v>20.036999999999999</v>
      </c>
      <c r="K937" s="8">
        <v>43805</v>
      </c>
      <c r="L937" s="8">
        <v>43819</v>
      </c>
      <c r="M937">
        <v>12</v>
      </c>
      <c r="N937" s="49" t="s">
        <v>71</v>
      </c>
      <c r="O937">
        <v>2019</v>
      </c>
      <c r="P937">
        <v>0.15029999999999999</v>
      </c>
      <c r="Q937" s="10"/>
      <c r="R937" s="11">
        <f>ROUND(Таб[[#This Row],[Зелений Тариф ЕЦ]]+Таб[[#This Row],[Зелений Тариф ЕЦ]]*Таб[[#This Row],[% надбавки]],4)</f>
        <v>0.15029999999999999</v>
      </c>
      <c r="S937" s="12"/>
      <c r="T937"/>
      <c r="BD9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645.20893178377537</v>
      </c>
      <c r="BE9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1112.5596829585331</v>
      </c>
      <c r="BF9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1876.971437916437</v>
      </c>
      <c r="BG9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2667.8727091352584</v>
      </c>
      <c r="BH9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3284.700016353765</v>
      </c>
      <c r="BI9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3405.7949478322453</v>
      </c>
      <c r="BJ9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3460.6660886584314</v>
      </c>
      <c r="BK9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2991.4232291793219</v>
      </c>
      <c r="BL9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2100.2402178298844</v>
      </c>
      <c r="BM9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1349.0732210024391</v>
      </c>
      <c r="BN9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624.39574043591153</v>
      </c>
      <c r="BO9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527.89821691399789</v>
      </c>
      <c r="BP937">
        <f>SUM(Таб[[#This Row],[1]:[12]])</f>
        <v>24046.80444</v>
      </c>
    </row>
    <row r="938" spans="2:68" ht="51">
      <c r="B938" t="s">
        <v>384</v>
      </c>
      <c r="C938" t="str">
        <f>IFERROR(VLOOKUP(Таб[[#This Row],[Зелений Тариф ЕЦ]],Sheet6!$H$9:$I$29,2,FALSE),"")</f>
        <v>Земля</v>
      </c>
      <c r="G938" s="1" t="s">
        <v>2285</v>
      </c>
      <c r="H938" t="s">
        <v>163</v>
      </c>
      <c r="J938" s="7">
        <v>2.246</v>
      </c>
      <c r="K938" s="8">
        <v>43802</v>
      </c>
      <c r="L938" s="8">
        <v>43819</v>
      </c>
      <c r="M938">
        <v>12</v>
      </c>
      <c r="N938" s="49" t="s">
        <v>71</v>
      </c>
      <c r="O938">
        <v>2019</v>
      </c>
      <c r="P938">
        <v>0.15029999999999999</v>
      </c>
      <c r="Q938" s="10"/>
      <c r="R938" s="11">
        <f>ROUND(Таб[[#This Row],[Зелений Тариф ЕЦ]]+Таб[[#This Row],[Зелений Тариф ЕЦ]]*Таб[[#This Row],[% надбавки]],4)</f>
        <v>0.15029999999999999</v>
      </c>
      <c r="S938" s="12"/>
      <c r="T938"/>
      <c r="BD9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72.323165183728065</v>
      </c>
      <c r="BE9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124.70973937839325</v>
      </c>
      <c r="BF9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210.39466235266346</v>
      </c>
      <c r="BG9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299.04886483594305</v>
      </c>
      <c r="BH9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368.19065911716109</v>
      </c>
      <c r="BI9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381.76450830120393</v>
      </c>
      <c r="BJ9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387.91515871272327</v>
      </c>
      <c r="BK9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335.31649312455744</v>
      </c>
      <c r="BL9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235.42144678574243</v>
      </c>
      <c r="BM9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151.22116356597687</v>
      </c>
      <c r="BN9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69.99015985522071</v>
      </c>
      <c r="BO9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59.173498786686601</v>
      </c>
      <c r="BP938">
        <f>SUM(Таб[[#This Row],[1]:[12]])</f>
        <v>2695.4695200000001</v>
      </c>
    </row>
    <row r="939" spans="2:68" ht="51">
      <c r="B939" t="s">
        <v>384</v>
      </c>
      <c r="C939" t="str">
        <f>IFERROR(VLOOKUP(Таб[[#This Row],[Зелений Тариф ЕЦ]],Sheet6!$H$9:$I$29,2,FALSE),"")</f>
        <v>Земля</v>
      </c>
      <c r="G939" s="1" t="s">
        <v>2287</v>
      </c>
      <c r="H939" t="s">
        <v>122</v>
      </c>
      <c r="J939" s="7">
        <v>1.98</v>
      </c>
      <c r="K939" s="8">
        <v>43784</v>
      </c>
      <c r="L939" s="8">
        <v>43819</v>
      </c>
      <c r="M939">
        <v>12</v>
      </c>
      <c r="N939" s="49" t="s">
        <v>71</v>
      </c>
      <c r="O939">
        <v>2019</v>
      </c>
      <c r="P939">
        <v>0.15029999999999999</v>
      </c>
      <c r="Q939" s="10"/>
      <c r="R939" s="11">
        <f>ROUND(Таб[[#This Row],[Зелений Тариф ЕЦ]]+Таб[[#This Row],[Зелений Тариф ЕЦ]]*Таб[[#This Row],[% надбавки]],4)</f>
        <v>0.15029999999999999</v>
      </c>
      <c r="S939" s="12"/>
      <c r="T939"/>
      <c r="BD9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63.757732441576849</v>
      </c>
      <c r="BE9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109.94001957667794</v>
      </c>
      <c r="BF9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185.47703983004169</v>
      </c>
      <c r="BG9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263.63167959713587</v>
      </c>
      <c r="BH9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324.58481970257299</v>
      </c>
      <c r="BI9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336.55108033676925</v>
      </c>
      <c r="BJ9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341.97329218663936</v>
      </c>
      <c r="BK9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295.60403222912896</v>
      </c>
      <c r="BL9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207.53983287434104</v>
      </c>
      <c r="BM9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133.31162237784247</v>
      </c>
      <c r="BN9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61.701031395074367</v>
      </c>
      <c r="BO9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52.165417452199222</v>
      </c>
      <c r="BP939">
        <f>SUM(Таб[[#This Row],[1]:[12]])</f>
        <v>2376.2375999999999</v>
      </c>
    </row>
    <row r="940" spans="2:68" ht="51">
      <c r="B940" t="s">
        <v>384</v>
      </c>
      <c r="C940" t="str">
        <f>IFERROR(VLOOKUP(Таб[[#This Row],[Зелений Тариф ЕЦ]],Sheet6!$H$9:$I$29,2,FALSE),"")</f>
        <v>Земля</v>
      </c>
      <c r="G940" s="1" t="s">
        <v>2289</v>
      </c>
      <c r="H940" t="s">
        <v>122</v>
      </c>
      <c r="J940" s="7">
        <v>6.968</v>
      </c>
      <c r="K940" s="8">
        <v>43809</v>
      </c>
      <c r="L940" s="8">
        <v>43819</v>
      </c>
      <c r="M940">
        <v>12</v>
      </c>
      <c r="N940" s="49" t="s">
        <v>71</v>
      </c>
      <c r="O940">
        <v>2019</v>
      </c>
      <c r="P940">
        <v>0.15029999999999999</v>
      </c>
      <c r="Q940" s="10"/>
      <c r="R940" s="11">
        <f>ROUND(Таб[[#This Row],[Зелений Тариф ЕЦ]]+Таб[[#This Row],[Зелений Тариф ЕЦ]]*Таб[[#This Row],[% надбавки]],4)</f>
        <v>0.15029999999999999</v>
      </c>
      <c r="S940" s="12"/>
      <c r="T940"/>
      <c r="BD9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224.3756967943977</v>
      </c>
      <c r="BE9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386.90002849004645</v>
      </c>
      <c r="BF9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652.72929976552041</v>
      </c>
      <c r="BG9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927.7704764812338</v>
      </c>
      <c r="BH9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1142.2762745896609</v>
      </c>
      <c r="BI9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1184.3878423164688</v>
      </c>
      <c r="BJ9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1203.4696464426784</v>
      </c>
      <c r="BK9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1040.2873215012983</v>
      </c>
      <c r="BL9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730.37250276182237</v>
      </c>
      <c r="BM9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469.14918420646779</v>
      </c>
      <c r="BN9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217.13777109135262</v>
      </c>
      <c r="BO9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183.58011555905267</v>
      </c>
      <c r="BP940">
        <f>SUM(Таб[[#This Row],[1]:[12]])</f>
        <v>8362.4361600000011</v>
      </c>
    </row>
    <row r="941" spans="2:68" ht="89.25">
      <c r="B941" t="s">
        <v>384</v>
      </c>
      <c r="C941" t="str">
        <f>IFERROR(VLOOKUP(Таб[[#This Row],[Зелений Тариф ЕЦ]],Sheet6!$H$9:$I$29,2,FALSE),"")</f>
        <v>Земля</v>
      </c>
      <c r="G941" s="1" t="s">
        <v>2291</v>
      </c>
      <c r="H941" t="s">
        <v>101</v>
      </c>
      <c r="J941" s="7">
        <v>1.2130000000000001</v>
      </c>
      <c r="K941" s="8">
        <v>43787</v>
      </c>
      <c r="L941" s="8">
        <v>43819</v>
      </c>
      <c r="M941">
        <v>12</v>
      </c>
      <c r="N941" s="49" t="s">
        <v>71</v>
      </c>
      <c r="O941">
        <v>2019</v>
      </c>
      <c r="P941">
        <v>0.15029999999999999</v>
      </c>
      <c r="Q941" s="10"/>
      <c r="R941" s="11">
        <f>ROUND(Таб[[#This Row],[Зелений Тариф ЕЦ]]+Таб[[#This Row],[Зелений Тариф ЕЦ]]*Таб[[#This Row],[% надбавки]],4)</f>
        <v>0.15029999999999999</v>
      </c>
      <c r="S941" s="12"/>
      <c r="T941"/>
      <c r="BD9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39.059661339208439</v>
      </c>
      <c r="BE9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67.352143306318368</v>
      </c>
      <c r="BF9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113.62810571406089</v>
      </c>
      <c r="BG9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161.5076905814777</v>
      </c>
      <c r="BH9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198.84918499960659</v>
      </c>
      <c r="BI9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206.180030529546</v>
      </c>
      <c r="BJ9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209.50181991029979</v>
      </c>
      <c r="BK9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181.09479348178459</v>
      </c>
      <c r="BL9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127.14435215988672</v>
      </c>
      <c r="BM9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81.670200981981282</v>
      </c>
      <c r="BN9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37.799672263750104</v>
      </c>
      <c r="BO9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31.957904732079633</v>
      </c>
      <c r="BP941">
        <f>SUM(Таб[[#This Row],[1]:[12]])</f>
        <v>1455.7455600000001</v>
      </c>
    </row>
    <row r="942" spans="2:68" ht="25.5">
      <c r="B942" t="s">
        <v>384</v>
      </c>
      <c r="C942" t="str">
        <f>IFERROR(VLOOKUP(Таб[[#This Row],[Зелений Тариф ЕЦ]],Sheet6!$H$9:$I$29,2,FALSE),"")</f>
        <v>Земля</v>
      </c>
      <c r="G942" s="1" t="s">
        <v>2293</v>
      </c>
      <c r="H942" t="s">
        <v>82</v>
      </c>
      <c r="J942" s="7">
        <v>1.149</v>
      </c>
      <c r="K942" s="8">
        <v>43790</v>
      </c>
      <c r="L942" s="8">
        <v>43819</v>
      </c>
      <c r="M942">
        <v>12</v>
      </c>
      <c r="N942" s="49" t="s">
        <v>71</v>
      </c>
      <c r="O942">
        <v>2019</v>
      </c>
      <c r="P942">
        <v>0.15029999999999999</v>
      </c>
      <c r="Q942" s="10"/>
      <c r="R942" s="11">
        <f>ROUND(Таб[[#This Row],[Зелений Тариф ЕЦ]]+Таб[[#This Row],[Зелений Тариф ЕЦ]]*Таб[[#This Row],[% надбавки]],4)</f>
        <v>0.15029999999999999</v>
      </c>
      <c r="S942" s="12"/>
      <c r="T942"/>
      <c r="BD9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36.998805341096869</v>
      </c>
      <c r="BE9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63.798526511920691</v>
      </c>
      <c r="BF9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107.63288826500904</v>
      </c>
      <c r="BG9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152.98626255409553</v>
      </c>
      <c r="BH9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188.35755446376581</v>
      </c>
      <c r="BI9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195.30161177118578</v>
      </c>
      <c r="BJ9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198.44813773861046</v>
      </c>
      <c r="BK9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171.53991567235818</v>
      </c>
      <c r="BL9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120.43599392556459</v>
      </c>
      <c r="BM9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77.361138440475258</v>
      </c>
      <c r="BN9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35.805295491384065</v>
      </c>
      <c r="BO9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30.271749824533799</v>
      </c>
      <c r="BP942">
        <f>SUM(Таб[[#This Row],[1]:[12]])</f>
        <v>1378.93788</v>
      </c>
    </row>
    <row r="943" spans="2:68" ht="25.5">
      <c r="B943" t="s">
        <v>384</v>
      </c>
      <c r="C943" t="str">
        <f>IFERROR(VLOOKUP(Таб[[#This Row],[Зелений Тариф ЕЦ]],Sheet6!$H$9:$I$29,2,FALSE),"")</f>
        <v>Земля</v>
      </c>
      <c r="G943" s="1" t="s">
        <v>2295</v>
      </c>
      <c r="H943" t="s">
        <v>82</v>
      </c>
      <c r="J943" s="7">
        <v>1.121</v>
      </c>
      <c r="K943" s="8">
        <v>43790</v>
      </c>
      <c r="L943" s="8">
        <v>43819</v>
      </c>
      <c r="M943">
        <v>12</v>
      </c>
      <c r="N943" s="49" t="s">
        <v>71</v>
      </c>
      <c r="O943">
        <v>2019</v>
      </c>
      <c r="P943">
        <v>0.15029999999999999</v>
      </c>
      <c r="Q943" s="10"/>
      <c r="R943" s="11">
        <f>ROUND(Таб[[#This Row],[Зелений Тариф ЕЦ]]+Таб[[#This Row],[Зелений Тариф ЕЦ]]*Таб[[#This Row],[% надбавки]],4)</f>
        <v>0.15029999999999999</v>
      </c>
      <c r="S943" s="12"/>
      <c r="T943"/>
      <c r="BD9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36.097180841923048</v>
      </c>
      <c r="BE9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62.243819164371708</v>
      </c>
      <c r="BF9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105.00998063104885</v>
      </c>
      <c r="BG9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149.2581377921158</v>
      </c>
      <c r="BH9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183.76746610433551</v>
      </c>
      <c r="BI9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190.54230356440317</v>
      </c>
      <c r="BJ9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193.61215178849631</v>
      </c>
      <c r="BK9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167.35965663073412</v>
      </c>
      <c r="BL9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117.50108719804864</v>
      </c>
      <c r="BM9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75.475923578566352</v>
      </c>
      <c r="BN9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34.932755653473919</v>
      </c>
      <c r="BO9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29.534057052482495</v>
      </c>
      <c r="BP943">
        <f>SUM(Таб[[#This Row],[1]:[12]])</f>
        <v>1345.3345200000001</v>
      </c>
    </row>
    <row r="944" spans="2:68" ht="51">
      <c r="B944" t="s">
        <v>384</v>
      </c>
      <c r="C944" t="str">
        <f>IFERROR(VLOOKUP(Таб[[#This Row],[Зелений Тариф ЕЦ]],Sheet6!$H$9:$I$29,2,FALSE),"")</f>
        <v>Земля</v>
      </c>
      <c r="G944" s="1" t="s">
        <v>2297</v>
      </c>
      <c r="H944" t="s">
        <v>198</v>
      </c>
      <c r="J944" s="7">
        <v>4.71</v>
      </c>
      <c r="K944" s="8">
        <v>43779</v>
      </c>
      <c r="L944" s="8">
        <v>43819</v>
      </c>
      <c r="M944">
        <v>12</v>
      </c>
      <c r="N944" s="49" t="s">
        <v>71</v>
      </c>
      <c r="O944">
        <v>2019</v>
      </c>
      <c r="P944">
        <v>0.15029999999999999</v>
      </c>
      <c r="Q944" s="10"/>
      <c r="R944" s="11">
        <f>ROUND(Таб[[#This Row],[Зелений Тариф ЕЦ]]+Таб[[#This Row],[Зелений Тариф ЕЦ]]*Таб[[#This Row],[% надбавки]],4)</f>
        <v>0.15029999999999999</v>
      </c>
      <c r="S944" s="12"/>
      <c r="T944"/>
      <c r="BD9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151.6661211110237</v>
      </c>
      <c r="BE9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261.52398596270359</v>
      </c>
      <c r="BF9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441.21053414115977</v>
      </c>
      <c r="BG9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627.12384389015665</v>
      </c>
      <c r="BH9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772.1184347470296</v>
      </c>
      <c r="BI9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800.58363049807224</v>
      </c>
      <c r="BJ9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813.48192232276324</v>
      </c>
      <c r="BK9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703.17928878747352</v>
      </c>
      <c r="BL9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493.69323880714461</v>
      </c>
      <c r="BM9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317.12007141395861</v>
      </c>
      <c r="BN9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146.77366559131326</v>
      </c>
      <c r="BO9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124.09046272720119</v>
      </c>
      <c r="BP944">
        <f>SUM(Таб[[#This Row],[1]:[12]])</f>
        <v>5652.5652</v>
      </c>
    </row>
    <row r="945" spans="2:68" ht="51">
      <c r="B945" t="s">
        <v>384</v>
      </c>
      <c r="C945" t="str">
        <f>IFERROR(VLOOKUP(Таб[[#This Row],[Зелений Тариф ЕЦ]],Sheet6!$H$9:$I$29,2,FALSE),"")</f>
        <v>Земля</v>
      </c>
      <c r="G945" s="1" t="s">
        <v>2299</v>
      </c>
      <c r="H945" t="s">
        <v>73</v>
      </c>
      <c r="J945" s="7">
        <v>4.9859999999999998</v>
      </c>
      <c r="K945" s="8">
        <v>43802</v>
      </c>
      <c r="L945" s="8">
        <v>43819</v>
      </c>
      <c r="M945">
        <v>12</v>
      </c>
      <c r="N945" s="49" t="s">
        <v>71</v>
      </c>
      <c r="O945">
        <v>2019</v>
      </c>
      <c r="P945">
        <v>0.15029999999999999</v>
      </c>
      <c r="Q945" s="10"/>
      <c r="R945" s="11">
        <f>ROUND(Таб[[#This Row],[Зелений Тариф ЕЦ]]+Таб[[#This Row],[Зелений Тариф ЕЦ]]*Таб[[#This Row],[% надбавки]],4)</f>
        <v>0.15029999999999999</v>
      </c>
      <c r="S945" s="12"/>
      <c r="T945"/>
      <c r="BD9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160.55356260287985</v>
      </c>
      <c r="BE9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276.84895838854356</v>
      </c>
      <c r="BF9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467.06490939019591</v>
      </c>
      <c r="BG9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663.87250225824209</v>
      </c>
      <c r="BH9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817.36359143284267</v>
      </c>
      <c r="BI9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847.49681139350059</v>
      </c>
      <c r="BJ9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861.15092668817351</v>
      </c>
      <c r="BK9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744.38469934062471</v>
      </c>
      <c r="BL9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522.62303369265885</v>
      </c>
      <c r="BM9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335.70290362420332</v>
      </c>
      <c r="BN9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155.37441542214179</v>
      </c>
      <c r="BO9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131.36200576599259</v>
      </c>
      <c r="BP945">
        <f>SUM(Таб[[#This Row],[1]:[12]])</f>
        <v>5983.7983199999999</v>
      </c>
    </row>
    <row r="946" spans="2:68" ht="51">
      <c r="B946" t="s">
        <v>384</v>
      </c>
      <c r="C946" t="str">
        <f>IFERROR(VLOOKUP(Таб[[#This Row],[Зелений Тариф ЕЦ]],Sheet6!$H$9:$I$29,2,FALSE),"")</f>
        <v>Земля</v>
      </c>
      <c r="G946" s="1" t="s">
        <v>2301</v>
      </c>
      <c r="H946" t="s">
        <v>65</v>
      </c>
      <c r="J946" s="7">
        <v>9.9990000000000006</v>
      </c>
      <c r="K946" s="8">
        <v>43804</v>
      </c>
      <c r="L946" s="8">
        <v>43819</v>
      </c>
      <c r="M946">
        <v>12</v>
      </c>
      <c r="N946" s="49" t="s">
        <v>71</v>
      </c>
      <c r="O946">
        <v>2019</v>
      </c>
      <c r="P946">
        <v>0.15029999999999999</v>
      </c>
      <c r="Q946" s="10"/>
      <c r="R946" s="11">
        <f>ROUND(Таб[[#This Row],[Зелений Тариф ЕЦ]]+Таб[[#This Row],[Зелений Тариф ЕЦ]]*Таб[[#This Row],[% надбавки]],4)</f>
        <v>0.15029999999999999</v>
      </c>
      <c r="S946" s="12"/>
      <c r="T946"/>
      <c r="BD9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321.97654882996312</v>
      </c>
      <c r="BE9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555.1970988622237</v>
      </c>
      <c r="BF9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936.65905114171051</v>
      </c>
      <c r="BG9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1331.339981965536</v>
      </c>
      <c r="BH9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1639.1533394979938</v>
      </c>
      <c r="BI9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1699.5829557006846</v>
      </c>
      <c r="BJ9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1726.965125542529</v>
      </c>
      <c r="BK9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1492.8003627571013</v>
      </c>
      <c r="BL9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1048.0761560154224</v>
      </c>
      <c r="BM9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673.22369300810442</v>
      </c>
      <c r="BN9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311.59020854512556</v>
      </c>
      <c r="BO9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263.43535813360614</v>
      </c>
      <c r="BP946">
        <f>SUM(Таб[[#This Row],[1]:[12]])</f>
        <v>11999.999879999999</v>
      </c>
    </row>
    <row r="947" spans="2:68" ht="51">
      <c r="B947" t="s">
        <v>384</v>
      </c>
      <c r="C947" t="str">
        <f>IFERROR(VLOOKUP(Таб[[#This Row],[Зелений Тариф ЕЦ]],Sheet6!$H$9:$I$29,2,FALSE),"")</f>
        <v>Земля</v>
      </c>
      <c r="G947" s="1" t="s">
        <v>2303</v>
      </c>
      <c r="H947" t="s">
        <v>122</v>
      </c>
      <c r="J947" s="7">
        <v>2.1240000000000001</v>
      </c>
      <c r="K947" s="8">
        <v>43797</v>
      </c>
      <c r="L947" s="8">
        <v>43819</v>
      </c>
      <c r="M947">
        <v>12</v>
      </c>
      <c r="N947" s="49" t="s">
        <v>71</v>
      </c>
      <c r="O947">
        <v>2019</v>
      </c>
      <c r="P947">
        <v>0.15029999999999999</v>
      </c>
      <c r="Q947" s="10"/>
      <c r="R947" s="11">
        <f>ROUND(Таб[[#This Row],[Зелений Тариф ЕЦ]]+Таб[[#This Row],[Зелений Тариф ЕЦ]]*Таб[[#This Row],[% надбавки]],4)</f>
        <v>0.15029999999999999</v>
      </c>
      <c r="S947" s="12"/>
      <c r="T947"/>
      <c r="BD9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68.394658437327891</v>
      </c>
      <c r="BE9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117.93565736407272</v>
      </c>
      <c r="BF9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198.96627909040839</v>
      </c>
      <c r="BG9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282.80489265874576</v>
      </c>
      <c r="BH9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348.19098840821465</v>
      </c>
      <c r="BI9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361.02752254307967</v>
      </c>
      <c r="BJ9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366.84407707294048</v>
      </c>
      <c r="BK9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317.1025073003384</v>
      </c>
      <c r="BL9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222.63363890156586</v>
      </c>
      <c r="BM9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143.00701309623102</v>
      </c>
      <c r="BN9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66.18837913289795</v>
      </c>
      <c r="BO9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55.959265994177358</v>
      </c>
      <c r="BP947">
        <f>SUM(Таб[[#This Row],[1]:[12]])</f>
        <v>2549.0548799999997</v>
      </c>
    </row>
    <row r="948" spans="2:68" ht="38.25">
      <c r="B948" t="s">
        <v>384</v>
      </c>
      <c r="C948" t="str">
        <f>IFERROR(VLOOKUP(Таб[[#This Row],[Зелений Тариф ЕЦ]],Sheet6!$H$9:$I$29,2,FALSE),"")</f>
        <v>Земля</v>
      </c>
      <c r="G948" s="1" t="s">
        <v>2305</v>
      </c>
      <c r="H948" t="s">
        <v>69</v>
      </c>
      <c r="J948" s="7">
        <v>5.4450000000000003</v>
      </c>
      <c r="K948" s="8">
        <v>43791</v>
      </c>
      <c r="L948" s="8">
        <v>43819</v>
      </c>
      <c r="M948">
        <v>12</v>
      </c>
      <c r="N948" s="49" t="s">
        <v>71</v>
      </c>
      <c r="O948">
        <v>2019</v>
      </c>
      <c r="P948">
        <v>0.15029999999999999</v>
      </c>
      <c r="Q948" s="10"/>
      <c r="R948" s="11">
        <f>ROUND(Таб[[#This Row],[Зелений Тариф ЕЦ]]+Таб[[#This Row],[Зелений Тариф ЕЦ]]*Таб[[#This Row],[% надбавки]],4)</f>
        <v>0.15029999999999999</v>
      </c>
      <c r="S948" s="12"/>
      <c r="T948"/>
      <c r="BD9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175.33376421433633</v>
      </c>
      <c r="BE9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302.33505383586436</v>
      </c>
      <c r="BF9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510.06185953261468</v>
      </c>
      <c r="BG9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724.9871188921237</v>
      </c>
      <c r="BH9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892.60825418207571</v>
      </c>
      <c r="BI9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925.51547092611531</v>
      </c>
      <c r="BJ9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940.42655351325845</v>
      </c>
      <c r="BK9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812.91108863010481</v>
      </c>
      <c r="BL9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570.73454040443789</v>
      </c>
      <c r="BM9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366.60696153906679</v>
      </c>
      <c r="BN9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169.6778363364545</v>
      </c>
      <c r="BO9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143.45489799354789</v>
      </c>
      <c r="BP948">
        <f>SUM(Таб[[#This Row],[1]:[12]])</f>
        <v>6534.6534000000011</v>
      </c>
    </row>
    <row r="949" spans="2:68" ht="25.5">
      <c r="B949" t="s">
        <v>384</v>
      </c>
      <c r="C949" t="str">
        <f>IFERROR(VLOOKUP(Таб[[#This Row],[Зелений Тариф ЕЦ]],Sheet6!$H$9:$I$29,2,FALSE),"")</f>
        <v>Дах</v>
      </c>
      <c r="G949" s="1" t="s">
        <v>2307</v>
      </c>
      <c r="H949" t="s">
        <v>98</v>
      </c>
      <c r="J949" s="7">
        <v>0.748</v>
      </c>
      <c r="K949" s="8">
        <v>43803</v>
      </c>
      <c r="L949" s="8">
        <v>43819</v>
      </c>
      <c r="M949">
        <v>12</v>
      </c>
      <c r="N949" s="49" t="s">
        <v>71</v>
      </c>
      <c r="O949">
        <v>2019</v>
      </c>
      <c r="P949">
        <v>0.16370000000000001</v>
      </c>
      <c r="Q949" s="10"/>
      <c r="R949" s="11">
        <f>ROUND(Таб[[#This Row],[Зелений Тариф ЕЦ]]+Таб[[#This Row],[Зелений Тариф ЕЦ]]*Таб[[#This Row],[% надбавки]],4)</f>
        <v>0.16370000000000001</v>
      </c>
      <c r="S949" s="12"/>
      <c r="T949"/>
      <c r="BD9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24.086254477929032</v>
      </c>
      <c r="BE9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41.532896284522778</v>
      </c>
      <c r="BF9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70.069103935793521</v>
      </c>
      <c r="BG9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99.594190070029114</v>
      </c>
      <c r="BH9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122.62093188763868</v>
      </c>
      <c r="BI9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127.14151923833504</v>
      </c>
      <c r="BJ9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129.18991038161934</v>
      </c>
      <c r="BK9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111.67263439767096</v>
      </c>
      <c r="BL9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78.403936863639956</v>
      </c>
      <c r="BM9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50.362168453851595</v>
      </c>
      <c r="BN9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23.309278527028095</v>
      </c>
      <c r="BO9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19.70693548194193</v>
      </c>
      <c r="BP949">
        <f>SUM(Таб[[#This Row],[1]:[12]])</f>
        <v>897.68976000000021</v>
      </c>
    </row>
    <row r="950" spans="2:68" ht="51">
      <c r="B950" t="s">
        <v>384</v>
      </c>
      <c r="C950" t="str">
        <f>IFERROR(VLOOKUP(Таб[[#This Row],[Зелений Тариф ЕЦ]],Sheet6!$H$9:$I$29,2,FALSE),"")</f>
        <v>Дах</v>
      </c>
      <c r="G950" s="1" t="s">
        <v>2309</v>
      </c>
      <c r="H950" t="s">
        <v>163</v>
      </c>
      <c r="J950" s="7">
        <v>0.43099999999999999</v>
      </c>
      <c r="K950" s="8">
        <v>43775</v>
      </c>
      <c r="L950" s="8">
        <v>43819</v>
      </c>
      <c r="M950">
        <v>12</v>
      </c>
      <c r="N950" s="49" t="s">
        <v>71</v>
      </c>
      <c r="O950">
        <v>2019</v>
      </c>
      <c r="P950">
        <v>0.16370000000000001</v>
      </c>
      <c r="Q950" s="10"/>
      <c r="R950" s="11">
        <f>ROUND(Таб[[#This Row],[Зелений Тариф ЕЦ]]+Таб[[#This Row],[Зелений Тариф ЕЦ]]*Таб[[#This Row],[% надбавки]],4)</f>
        <v>0.16370000000000001</v>
      </c>
      <c r="S950" s="12"/>
      <c r="T950"/>
      <c r="BD9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13.878577112282635</v>
      </c>
      <c r="BE9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23.931388099771816</v>
      </c>
      <c r="BF9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40.374042508458565</v>
      </c>
      <c r="BG9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57.386491871901796</v>
      </c>
      <c r="BH9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70.654574389802505</v>
      </c>
      <c r="BI9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73.259351325832085</v>
      </c>
      <c r="BJ9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74.439640874970479</v>
      </c>
      <c r="BK9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64.346130247855854</v>
      </c>
      <c r="BL9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45.176599984263127</v>
      </c>
      <c r="BM9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29.018843052954598</v>
      </c>
      <c r="BN9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13.430881076402551</v>
      </c>
      <c r="BO9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11.355199455503973</v>
      </c>
      <c r="BP950">
        <f>SUM(Таб[[#This Row],[1]:[12]])</f>
        <v>517.25172000000009</v>
      </c>
    </row>
    <row r="951" spans="2:68" ht="51">
      <c r="B951" t="s">
        <v>384</v>
      </c>
      <c r="C951" t="str">
        <f>IFERROR(VLOOKUP(Таб[[#This Row],[Зелений Тариф ЕЦ]],Sheet6!$H$9:$I$29,2,FALSE),"")</f>
        <v>Дах</v>
      </c>
      <c r="G951" s="1" t="s">
        <v>2309</v>
      </c>
      <c r="H951" t="s">
        <v>163</v>
      </c>
      <c r="J951" s="7">
        <v>0.54100000000000004</v>
      </c>
      <c r="K951" s="8">
        <v>43775</v>
      </c>
      <c r="L951" s="8">
        <v>43819</v>
      </c>
      <c r="M951">
        <v>12</v>
      </c>
      <c r="N951" s="49" t="s">
        <v>71</v>
      </c>
      <c r="O951">
        <v>2019</v>
      </c>
      <c r="P951">
        <v>0.16370000000000001</v>
      </c>
      <c r="Q951" s="10"/>
      <c r="R951" s="11">
        <f>ROUND(Таб[[#This Row],[Зелений Тариф ЕЦ]]+Таб[[#This Row],[Зелений Тариф ЕЦ]]*Таб[[#This Row],[% надбавки]],4)</f>
        <v>0.16370000000000001</v>
      </c>
      <c r="S951" s="12"/>
      <c r="T951"/>
      <c r="BD9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17.420673359036904</v>
      </c>
      <c r="BE9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30.039166965142815</v>
      </c>
      <c r="BF9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50.678322499016446</v>
      </c>
      <c r="BG9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72.032696293964918</v>
      </c>
      <c r="BH9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88.687064373278787</v>
      </c>
      <c r="BI9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91.956633566763713</v>
      </c>
      <c r="BJ9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93.43815710756158</v>
      </c>
      <c r="BK9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80.768576482807475</v>
      </c>
      <c r="BL9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56.706590699504304</v>
      </c>
      <c r="BM9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36.425044296168068</v>
      </c>
      <c r="BN9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16.858716153906684</v>
      </c>
      <c r="BO9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14.253278202848378</v>
      </c>
      <c r="BP951">
        <f>SUM(Таб[[#This Row],[1]:[12]])</f>
        <v>649.26492000000007</v>
      </c>
    </row>
    <row r="952" spans="2:68" ht="25.5">
      <c r="B952" t="s">
        <v>384</v>
      </c>
      <c r="C952" t="str">
        <f>IFERROR(VLOOKUP(Таб[[#This Row],[Зелений Тариф ЕЦ]],Sheet6!$H$9:$I$29,2,FALSE),"")</f>
        <v>Дах</v>
      </c>
      <c r="G952" s="1" t="s">
        <v>2312</v>
      </c>
      <c r="H952" t="s">
        <v>233</v>
      </c>
      <c r="J952" s="7">
        <v>0.434</v>
      </c>
      <c r="K952" s="8">
        <v>43773</v>
      </c>
      <c r="L952" s="8">
        <v>43819</v>
      </c>
      <c r="M952">
        <v>12</v>
      </c>
      <c r="N952" s="49" t="s">
        <v>71</v>
      </c>
      <c r="O952">
        <v>2019</v>
      </c>
      <c r="P952">
        <v>0.16370000000000001</v>
      </c>
      <c r="Q952" s="10"/>
      <c r="R952" s="11">
        <f>ROUND(Таб[[#This Row],[Зелений Тариф ЕЦ]]+Таб[[#This Row],[Зелений Тариф ЕЦ]]*Таб[[#This Row],[% надбавки]],4)</f>
        <v>0.16370000000000001</v>
      </c>
      <c r="S952" s="12"/>
      <c r="T952"/>
      <c r="BD9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13.975179737194118</v>
      </c>
      <c r="BE9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24.097963887009207</v>
      </c>
      <c r="BF9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40.655068326382874</v>
      </c>
      <c r="BG9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57.785933810685343</v>
      </c>
      <c r="BH9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71.146369571170041</v>
      </c>
      <c r="BI9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73.769277205130223</v>
      </c>
      <c r="BJ9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74.95778222676843</v>
      </c>
      <c r="BK9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64.794015145172722</v>
      </c>
      <c r="BL9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45.491054276496975</v>
      </c>
      <c r="BM9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29.220830359587694</v>
      </c>
      <c r="BN9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13.524367487607208</v>
      </c>
      <c r="BO9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11.434237966795184</v>
      </c>
      <c r="BP952">
        <f>SUM(Таб[[#This Row],[1]:[12]])</f>
        <v>520.85208</v>
      </c>
    </row>
    <row r="953" spans="2:68" ht="51">
      <c r="B953" t="s">
        <v>384</v>
      </c>
      <c r="C953" t="str">
        <f>IFERROR(VLOOKUP(Таб[[#This Row],[Зелений Тариф ЕЦ]],Sheet6!$H$9:$I$29,2,FALSE),"")</f>
        <v>Дах</v>
      </c>
      <c r="G953" s="1" t="s">
        <v>2314</v>
      </c>
      <c r="H953" t="s">
        <v>198</v>
      </c>
      <c r="J953" s="7">
        <v>0.52200000000000002</v>
      </c>
      <c r="K953" s="8">
        <v>43773</v>
      </c>
      <c r="L953" s="8">
        <v>43819</v>
      </c>
      <c r="M953">
        <v>12</v>
      </c>
      <c r="N953" s="49" t="s">
        <v>71</v>
      </c>
      <c r="O953">
        <v>2019</v>
      </c>
      <c r="P953">
        <v>0.16370000000000001</v>
      </c>
      <c r="Q953" s="10"/>
      <c r="R953" s="11">
        <f>ROUND(Таб[[#This Row],[Зелений Тариф ЕЦ]]+Таб[[#This Row],[Зелений Тариф ЕЦ]]*Таб[[#This Row],[% надбавки]],4)</f>
        <v>0.16370000000000001</v>
      </c>
      <c r="S953" s="12"/>
      <c r="T953"/>
      <c r="BD9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16.808856734597533</v>
      </c>
      <c r="BE9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28.984186979306006</v>
      </c>
      <c r="BF9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48.89849231882917</v>
      </c>
      <c r="BG9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69.502897348335821</v>
      </c>
      <c r="BH9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85.572361557951055</v>
      </c>
      <c r="BI9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88.727102997875534</v>
      </c>
      <c r="BJ9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90.156595212841296</v>
      </c>
      <c r="BK9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77.931972133133996</v>
      </c>
      <c r="BL9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54.715046848689909</v>
      </c>
      <c r="BM9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35.145791354158469</v>
      </c>
      <c r="BN9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16.266635549610516</v>
      </c>
      <c r="BO9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13.752700964670707</v>
      </c>
      <c r="BP953">
        <f>SUM(Таб[[#This Row],[1]:[12]])</f>
        <v>626.46264000000008</v>
      </c>
    </row>
    <row r="954" spans="2:68" ht="38.25">
      <c r="B954" t="s">
        <v>384</v>
      </c>
      <c r="C954" t="str">
        <f>IFERROR(VLOOKUP(Таб[[#This Row],[Зелений Тариф ЕЦ]],Sheet6!$H$9:$I$29,2,FALSE),"")</f>
        <v>Земля</v>
      </c>
      <c r="G954" s="1" t="s">
        <v>2316</v>
      </c>
      <c r="H954" t="s">
        <v>198</v>
      </c>
      <c r="J954" s="7">
        <v>4.0659999999999998</v>
      </c>
      <c r="K954" s="8">
        <v>43781</v>
      </c>
      <c r="L954" s="8">
        <v>43819</v>
      </c>
      <c r="M954">
        <v>12</v>
      </c>
      <c r="N954" s="49" t="s">
        <v>71</v>
      </c>
      <c r="O954">
        <v>2019</v>
      </c>
      <c r="P954">
        <v>0.15029999999999999</v>
      </c>
      <c r="Q954" s="10"/>
      <c r="R954" s="11">
        <f>ROUND(Таб[[#This Row],[Зелений Тариф ЕЦ]]+Таб[[#This Row],[Зелений Тариф ЕЦ]]*Таб[[#This Row],[% надбавки]],4)</f>
        <v>0.15029999999999999</v>
      </c>
      <c r="S954" s="12"/>
      <c r="T954"/>
      <c r="BD9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130.92875763002598</v>
      </c>
      <c r="BE9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225.76571696907703</v>
      </c>
      <c r="BF9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380.8836585600755</v>
      </c>
      <c r="BG9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541.37697436462349</v>
      </c>
      <c r="BH9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666.54640248013209</v>
      </c>
      <c r="BI9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691.11954174207256</v>
      </c>
      <c r="BJ9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702.25424547013915</v>
      </c>
      <c r="BK9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607.03333083012046</v>
      </c>
      <c r="BL9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426.19038407427809</v>
      </c>
      <c r="BM9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273.76012959005425</v>
      </c>
      <c r="BN9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126.70524931937996</v>
      </c>
      <c r="BO9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107.12352897002124</v>
      </c>
      <c r="BP954">
        <f>SUM(Таб[[#This Row],[1]:[12]])</f>
        <v>4879.6879200000003</v>
      </c>
    </row>
    <row r="955" spans="2:68" ht="51">
      <c r="B955" t="s">
        <v>384</v>
      </c>
      <c r="C955" t="str">
        <f>IFERROR(VLOOKUP(Таб[[#This Row],[Зелений Тариф ЕЦ]],Sheet6!$H$9:$I$29,2,FALSE),"")</f>
        <v>Земля</v>
      </c>
      <c r="G955" s="1" t="s">
        <v>2318</v>
      </c>
      <c r="H955" t="s">
        <v>172</v>
      </c>
      <c r="J955" s="7">
        <v>3.2080000000000002</v>
      </c>
      <c r="K955" s="8">
        <v>43810</v>
      </c>
      <c r="L955" s="8">
        <v>43819</v>
      </c>
      <c r="M955">
        <v>12</v>
      </c>
      <c r="N955" s="49" t="s">
        <v>71</v>
      </c>
      <c r="O955">
        <v>2019</v>
      </c>
      <c r="P955">
        <v>0.15029999999999999</v>
      </c>
      <c r="Q955" s="10"/>
      <c r="R955" s="11">
        <f>ROUND(Таб[[#This Row],[Зелений Тариф ЕЦ]]+Таб[[#This Row],[Зелений Тариф ЕЦ]]*Таб[[#This Row],[% надбавки]],4)</f>
        <v>0.15029999999999999</v>
      </c>
      <c r="S955" s="12"/>
      <c r="T955"/>
      <c r="BD9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103.3004069053427</v>
      </c>
      <c r="BE9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178.12504181918328</v>
      </c>
      <c r="BF9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300.51027463372418</v>
      </c>
      <c r="BG9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427.13657987253129</v>
      </c>
      <c r="BH9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525.89298060901717</v>
      </c>
      <c r="BI9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545.28074026280592</v>
      </c>
      <c r="BJ9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554.06581885592891</v>
      </c>
      <c r="BK9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478.93825019749784</v>
      </c>
      <c r="BL9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336.256456495397</v>
      </c>
      <c r="BM9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215.99175989298919</v>
      </c>
      <c r="BN9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99.968135714847776</v>
      </c>
      <c r="BO9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84.518514740734929</v>
      </c>
      <c r="BP955">
        <f>SUM(Таб[[#This Row],[1]:[12]])</f>
        <v>3849.9849600000007</v>
      </c>
    </row>
    <row r="956" spans="2:68" ht="38.25">
      <c r="B956" t="s">
        <v>384</v>
      </c>
      <c r="C956" t="str">
        <f>IFERROR(VLOOKUP(Таб[[#This Row],[Зелений Тариф ЕЦ]],Sheet6!$H$9:$I$29,2,FALSE),"")</f>
        <v>Земля</v>
      </c>
      <c r="G956" s="1" t="s">
        <v>2320</v>
      </c>
      <c r="H956" t="s">
        <v>65</v>
      </c>
      <c r="J956" s="7">
        <v>0.52900000000000003</v>
      </c>
      <c r="K956" s="8">
        <v>43808</v>
      </c>
      <c r="L956" s="8">
        <v>43819</v>
      </c>
      <c r="M956">
        <v>12</v>
      </c>
      <c r="N956" s="49" t="s">
        <v>71</v>
      </c>
      <c r="O956">
        <v>2019</v>
      </c>
      <c r="P956">
        <v>0.15029999999999999</v>
      </c>
      <c r="Q956" s="10"/>
      <c r="R956" s="11">
        <f>ROUND(Таб[[#This Row],[Зелений Тариф ЕЦ]]+Таб[[#This Row],[Зелений Тариф ЕЦ]]*Таб[[#This Row],[% надбавки]],4)</f>
        <v>0.15029999999999999</v>
      </c>
      <c r="S956" s="12"/>
      <c r="T956"/>
      <c r="BD9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17.034262859390985</v>
      </c>
      <c r="BE9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29.372863816193252</v>
      </c>
      <c r="BF9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49.554219227319223</v>
      </c>
      <c r="BG9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70.434928538830746</v>
      </c>
      <c r="BH9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86.719883647808643</v>
      </c>
      <c r="BI9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89.916930049571178</v>
      </c>
      <c r="BJ9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91.365591700369833</v>
      </c>
      <c r="BK9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78.977036893540017</v>
      </c>
      <c r="BL9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55.4487735305689</v>
      </c>
      <c r="BM9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35.617095069635688</v>
      </c>
      <c r="BN9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16.484770509088051</v>
      </c>
      <c r="BO9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13.937124157683531</v>
      </c>
      <c r="BP956">
        <f>SUM(Таб[[#This Row],[1]:[12]])</f>
        <v>634.8634800000001</v>
      </c>
    </row>
    <row r="957" spans="2:68" ht="51">
      <c r="B957" t="s">
        <v>384</v>
      </c>
      <c r="C957" t="str">
        <f>IFERROR(VLOOKUP(Таб[[#This Row],[Зелений Тариф ЕЦ]],Sheet6!$H$9:$I$29,2,FALSE),"")</f>
        <v>Земля</v>
      </c>
      <c r="D957" t="s">
        <v>3362</v>
      </c>
      <c r="F957" t="s">
        <v>3287</v>
      </c>
      <c r="G957" s="1" t="s">
        <v>2322</v>
      </c>
      <c r="H957" t="s">
        <v>69</v>
      </c>
      <c r="J957" s="7">
        <v>8.8780000000000001</v>
      </c>
      <c r="K957" s="8">
        <v>43713</v>
      </c>
      <c r="L957" s="8">
        <v>43819</v>
      </c>
      <c r="M957">
        <v>12</v>
      </c>
      <c r="N957" s="49" t="s">
        <v>71</v>
      </c>
      <c r="O957">
        <v>2019</v>
      </c>
      <c r="P957">
        <v>0.15029999999999999</v>
      </c>
      <c r="Q957" s="10"/>
      <c r="R957" s="11">
        <f>ROUND(Таб[[#This Row],[Зелений Тариф ЕЦ]]+Таб[[#This Row],[Зелений Тариф ЕЦ]]*Таб[[#This Row],[% надбавки]],4)</f>
        <v>0.15029999999999999</v>
      </c>
      <c r="S957" s="12"/>
      <c r="T957"/>
      <c r="BD9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285.87936798804003</v>
      </c>
      <c r="BE9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492.95327969785194</v>
      </c>
      <c r="BF9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831.64907051066177</v>
      </c>
      <c r="BG9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1182.0818441734204</v>
      </c>
      <c r="BH9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1455.3858733936581</v>
      </c>
      <c r="BI9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1509.0406521362816</v>
      </c>
      <c r="BJ9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1533.3529737540325</v>
      </c>
      <c r="BK9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1325.4407061263673</v>
      </c>
      <c r="BL9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930.57506881737368</v>
      </c>
      <c r="BM9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597.74776942953804</v>
      </c>
      <c r="BN9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276.65745289165164</v>
      </c>
      <c r="BO9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233.90130108112362</v>
      </c>
      <c r="BP957">
        <f>SUM(Таб[[#This Row],[1]:[12]])</f>
        <v>10654.665360000001</v>
      </c>
    </row>
    <row r="958" spans="2:68" ht="51">
      <c r="B958" t="s">
        <v>384</v>
      </c>
      <c r="C958" t="str">
        <f>IFERROR(VLOOKUP(Таб[[#This Row],[Зелений Тариф ЕЦ]],Sheet6!$H$9:$I$29,2,FALSE),"")</f>
        <v>Земля</v>
      </c>
      <c r="G958" s="1" t="s">
        <v>2324</v>
      </c>
      <c r="H958" t="s">
        <v>122</v>
      </c>
      <c r="J958" s="7">
        <v>1.3919999999999999</v>
      </c>
      <c r="K958" s="8">
        <v>43804</v>
      </c>
      <c r="L958" s="8">
        <v>43819</v>
      </c>
      <c r="M958">
        <v>12</v>
      </c>
      <c r="N958" s="49" t="s">
        <v>71</v>
      </c>
      <c r="O958">
        <v>2019</v>
      </c>
      <c r="P958">
        <v>0.15029999999999999</v>
      </c>
      <c r="Q958" s="10"/>
      <c r="R958" s="11">
        <f>ROUND(Таб[[#This Row],[Зелений Тариф ЕЦ]]+Таб[[#This Row],[Зелений Тариф ЕЦ]]*Таб[[#This Row],[% надбавки]],4)</f>
        <v>0.15029999999999999</v>
      </c>
      <c r="S958" s="12"/>
      <c r="T958"/>
      <c r="BD9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44.823617958926746</v>
      </c>
      <c r="BE9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77.291165278149336</v>
      </c>
      <c r="BF9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130.39597951687779</v>
      </c>
      <c r="BG9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185.34105959556217</v>
      </c>
      <c r="BH9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228.19296415453616</v>
      </c>
      <c r="BI9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236.60560799433475</v>
      </c>
      <c r="BJ9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240.41758723424343</v>
      </c>
      <c r="BK9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207.81859235502401</v>
      </c>
      <c r="BL9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145.90679159650642</v>
      </c>
      <c r="BM9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93.722110277755903</v>
      </c>
      <c r="BN9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43.377694798961365</v>
      </c>
      <c r="BO9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36.673869239121885</v>
      </c>
      <c r="BP958">
        <f>SUM(Таб[[#This Row],[1]:[12]])</f>
        <v>1670.5670400000001</v>
      </c>
    </row>
    <row r="959" spans="2:68" ht="38.25">
      <c r="B959" t="s">
        <v>384</v>
      </c>
      <c r="C959" t="str">
        <f>IFERROR(VLOOKUP(Таб[[#This Row],[Зелений Тариф ЕЦ]],Sheet6!$H$9:$I$29,2,FALSE),"")</f>
        <v>Земля</v>
      </c>
      <c r="G959" s="1" t="s">
        <v>2326</v>
      </c>
      <c r="H959" t="s">
        <v>73</v>
      </c>
      <c r="J959" s="7">
        <v>3.355</v>
      </c>
      <c r="K959" s="8">
        <v>43802</v>
      </c>
      <c r="L959" s="8">
        <v>43819</v>
      </c>
      <c r="M959">
        <v>12</v>
      </c>
      <c r="N959" s="49" t="s">
        <v>71</v>
      </c>
      <c r="O959">
        <v>2019</v>
      </c>
      <c r="P959">
        <v>0.15029999999999999</v>
      </c>
      <c r="Q959" s="10"/>
      <c r="R959" s="11">
        <f>ROUND(Таб[[#This Row],[Зелений Тариф ЕЦ]]+Таб[[#This Row],[Зелений Тариф ЕЦ]]*Таб[[#This Row],[% надбавки]],4)</f>
        <v>0.15029999999999999</v>
      </c>
      <c r="S959" s="12"/>
      <c r="T959"/>
      <c r="BD9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108.03393552600522</v>
      </c>
      <c r="BE9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186.28725539381537</v>
      </c>
      <c r="BF9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314.28053971201507</v>
      </c>
      <c r="BG9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446.70923487292464</v>
      </c>
      <c r="BH9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549.99094449602649</v>
      </c>
      <c r="BI9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570.26710834841447</v>
      </c>
      <c r="BJ9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579.45474509402788</v>
      </c>
      <c r="BK9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500.88461016602406</v>
      </c>
      <c r="BL9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351.66471681485564</v>
      </c>
      <c r="BM9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225.88913791801085</v>
      </c>
      <c r="BN9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104.54896986387601</v>
      </c>
      <c r="BO9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88.391401794004253</v>
      </c>
      <c r="BP959">
        <f>SUM(Таб[[#This Row],[1]:[12]])</f>
        <v>4026.4025999999999</v>
      </c>
    </row>
    <row r="960" spans="2:68" ht="51">
      <c r="B960" t="s">
        <v>384</v>
      </c>
      <c r="C960" t="str">
        <f>IFERROR(VLOOKUP(Таб[[#This Row],[Зелений Тариф ЕЦ]],Sheet6!$H$9:$I$29,2,FALSE),"")</f>
        <v>Земля</v>
      </c>
      <c r="G960" s="1" t="s">
        <v>2328</v>
      </c>
      <c r="H960" t="s">
        <v>69</v>
      </c>
      <c r="J960" s="7">
        <v>9.4909999999999997</v>
      </c>
      <c r="K960" s="8">
        <v>43775</v>
      </c>
      <c r="L960" s="8">
        <v>43819</v>
      </c>
      <c r="M960">
        <v>12</v>
      </c>
      <c r="N960" s="49" t="s">
        <v>71</v>
      </c>
      <c r="O960">
        <v>2019</v>
      </c>
      <c r="P960">
        <v>0.15029999999999999</v>
      </c>
      <c r="Q960" s="10"/>
      <c r="R960" s="11">
        <f>ROUND(Таб[[#This Row],[Зелений Тариф ЕЦ]]+Таб[[#This Row],[Зелений Тариф ЕЦ]]*Таб[[#This Row],[% надбавки]],4)</f>
        <v>0.15029999999999999</v>
      </c>
      <c r="S960" s="12"/>
      <c r="T960"/>
      <c r="BD9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305.61850434495244</v>
      </c>
      <c r="BE9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526.99026555669207</v>
      </c>
      <c r="BF9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889.07201263986144</v>
      </c>
      <c r="BG9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1263.7011469981903</v>
      </c>
      <c r="BH9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1555.8760221197576</v>
      </c>
      <c r="BI9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1613.2355068062002</v>
      </c>
      <c r="BJ9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1639.2265233047447</v>
      </c>
      <c r="BK9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1416.9585201447794</v>
      </c>
      <c r="BL9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994.82856253049044</v>
      </c>
      <c r="BM9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639.02050908490037</v>
      </c>
      <c r="BN9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295.75984291447014</v>
      </c>
      <c r="BO9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250.05150355496107</v>
      </c>
      <c r="BP960">
        <f>SUM(Таб[[#This Row],[1]:[12]])</f>
        <v>11390.338920000002</v>
      </c>
    </row>
    <row r="961" spans="2:68" ht="38.25">
      <c r="B961" t="s">
        <v>384</v>
      </c>
      <c r="C961" t="str">
        <f>IFERROR(VLOOKUP(Таб[[#This Row],[Зелений Тариф ЕЦ]],Sheet6!$H$9:$I$29,2,FALSE),"")</f>
        <v>Земля</v>
      </c>
      <c r="D961" t="s">
        <v>3393</v>
      </c>
      <c r="F961" t="s">
        <v>3406</v>
      </c>
      <c r="G961" s="1" t="s">
        <v>2329</v>
      </c>
      <c r="H961" t="s">
        <v>122</v>
      </c>
      <c r="J961" s="7">
        <v>12.757999999999999</v>
      </c>
      <c r="K961" s="8">
        <v>43801</v>
      </c>
      <c r="L961" s="8">
        <v>43823</v>
      </c>
      <c r="M961">
        <v>12</v>
      </c>
      <c r="N961" s="49" t="s">
        <v>71</v>
      </c>
      <c r="O961">
        <v>2019</v>
      </c>
      <c r="P961">
        <v>0.15029999999999999</v>
      </c>
      <c r="Q961" s="10"/>
      <c r="R961" s="11">
        <f>ROUND(Таб[[#This Row],[Зелений Тариф ЕЦ]]+Таб[[#This Row],[Зелений Тариф ЕЦ]]*Таб[[#This Row],[% надбавки]],4)</f>
        <v>0.15029999999999999</v>
      </c>
      <c r="S961" s="12"/>
      <c r="T961"/>
      <c r="BD9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410.81876287355425</v>
      </c>
      <c r="BE9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708.39129785821069</v>
      </c>
      <c r="BF9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1195.1091283594301</v>
      </c>
      <c r="BG9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1698.6934183334643</v>
      </c>
      <c r="BH9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2091.440974629003</v>
      </c>
      <c r="BI9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2168.5447893618693</v>
      </c>
      <c r="BJ9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2203.4824554126994</v>
      </c>
      <c r="BK9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1904.7051733228423</v>
      </c>
      <c r="BL9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1337.269286773153</v>
      </c>
      <c r="BM9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858.98468600834053</v>
      </c>
      <c r="BN9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397.56654471634283</v>
      </c>
      <c r="BO9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336.12444235108978</v>
      </c>
      <c r="BP961">
        <f>SUM(Таб[[#This Row],[1]:[12]])</f>
        <v>15311.130959999999</v>
      </c>
    </row>
    <row r="962" spans="2:68" ht="38.25">
      <c r="B962" t="s">
        <v>384</v>
      </c>
      <c r="C962" t="str">
        <f>IFERROR(VLOOKUP(Таб[[#This Row],[Зелений Тариф ЕЦ]],Sheet6!$H$9:$I$29,2,FALSE),"")</f>
        <v>Земля</v>
      </c>
      <c r="D962" t="s">
        <v>3359</v>
      </c>
      <c r="E962" t="s">
        <v>3385</v>
      </c>
      <c r="F962" t="s">
        <v>3287</v>
      </c>
      <c r="G962" s="1" t="s">
        <v>2331</v>
      </c>
      <c r="H962" t="s">
        <v>98</v>
      </c>
      <c r="J962" s="7">
        <v>18.257000000000001</v>
      </c>
      <c r="K962" s="8">
        <v>43818</v>
      </c>
      <c r="L962" s="8">
        <v>43823</v>
      </c>
      <c r="M962">
        <v>12</v>
      </c>
      <c r="N962" s="49" t="s">
        <v>71</v>
      </c>
      <c r="O962">
        <v>2019</v>
      </c>
      <c r="P962">
        <v>0.15029999999999999</v>
      </c>
      <c r="Q962" s="10"/>
      <c r="R962" s="11">
        <f>ROUND(Таб[[#This Row],[Зелений Тариф ЕЦ]]+Таб[[#This Row],[Зелений Тариф ЕЦ]]*Таб[[#This Row],[% надбавки]],4)</f>
        <v>0.15029999999999999</v>
      </c>
      <c r="S962" s="12"/>
      <c r="T962"/>
      <c r="BD9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587.89137433629719</v>
      </c>
      <c r="BE9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1013.7247158643482</v>
      </c>
      <c r="BF9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1710.2294526146825</v>
      </c>
      <c r="BG9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2430.8704921236922</v>
      </c>
      <c r="BH9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2992.901542075695</v>
      </c>
      <c r="BI9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3103.2389261153517</v>
      </c>
      <c r="BJ9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3153.235553258321</v>
      </c>
      <c r="BK9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2725.6781901046506</v>
      </c>
      <c r="BL9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1913.6640044378005</v>
      </c>
      <c r="BM9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1229.2274190668031</v>
      </c>
      <c r="BN9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568.92713645448123</v>
      </c>
      <c r="BO9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481.00203354787953</v>
      </c>
      <c r="BP962">
        <f>SUM(Таб[[#This Row],[1]:[12]])</f>
        <v>21910.590840000001</v>
      </c>
    </row>
    <row r="963" spans="2:68" ht="51">
      <c r="B963" t="s">
        <v>384</v>
      </c>
      <c r="C963" t="str">
        <f>IFERROR(VLOOKUP(Таб[[#This Row],[Зелений Тариф ЕЦ]],Sheet6!$H$9:$I$29,2,FALSE),"")</f>
        <v>Земля</v>
      </c>
      <c r="E963" t="s">
        <v>3393</v>
      </c>
      <c r="F963" t="s">
        <v>3364</v>
      </c>
      <c r="G963" s="1" t="s">
        <v>2333</v>
      </c>
      <c r="H963" t="s">
        <v>122</v>
      </c>
      <c r="J963" s="7">
        <v>25.276</v>
      </c>
      <c r="K963" s="8">
        <v>43801</v>
      </c>
      <c r="L963" s="8">
        <v>43823</v>
      </c>
      <c r="M963">
        <v>12</v>
      </c>
      <c r="N963" s="49" t="s">
        <v>71</v>
      </c>
      <c r="O963">
        <v>2019</v>
      </c>
      <c r="P963">
        <v>0.15029999999999999</v>
      </c>
      <c r="Q963" s="10"/>
      <c r="R963" s="11">
        <f>ROUND(Таб[[#This Row],[Зелений Тариф ЕЦ]]+Таб[[#This Row],[Зелений Тариф ЕЦ]]*Таб[[#This Row],[% надбавки]],4)</f>
        <v>0.15029999999999999</v>
      </c>
      <c r="S963" s="12"/>
      <c r="T963"/>
      <c r="BD9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813.90931575419006</v>
      </c>
      <c r="BE9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1403.4565327374303</v>
      </c>
      <c r="BF9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2367.7361912849165</v>
      </c>
      <c r="BG9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3365.4314815642456</v>
      </c>
      <c r="BH9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4143.5383347486031</v>
      </c>
      <c r="BI9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4296.2955083798879</v>
      </c>
      <c r="BJ9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4365.5136026815644</v>
      </c>
      <c r="BK9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3773.5795548603355</v>
      </c>
      <c r="BL9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2649.3822301675982</v>
      </c>
      <c r="BM9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1701.8103874860335</v>
      </c>
      <c r="BN9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787.65417653631289</v>
      </c>
      <c r="BO9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665.92580379888273</v>
      </c>
      <c r="BP963">
        <f>SUM(Таб[[#This Row],[1]:[12]])</f>
        <v>30334.233120000004</v>
      </c>
    </row>
    <row r="964" spans="2:68" ht="38.25">
      <c r="B964" t="s">
        <v>384</v>
      </c>
      <c r="C964" t="str">
        <f>IFERROR(VLOOKUP(Таб[[#This Row],[Зелений Тариф ЕЦ]],Sheet6!$H$9:$I$29,2,FALSE),"")</f>
        <v>Земля</v>
      </c>
      <c r="D964" t="s">
        <v>3437</v>
      </c>
      <c r="F964" t="s">
        <v>3287</v>
      </c>
      <c r="G964" s="1" t="s">
        <v>2335</v>
      </c>
      <c r="H964" t="s">
        <v>122</v>
      </c>
      <c r="J964" s="7">
        <v>12.189</v>
      </c>
      <c r="K964" s="8">
        <v>43811</v>
      </c>
      <c r="L964" s="8">
        <v>43823</v>
      </c>
      <c r="M964">
        <v>12</v>
      </c>
      <c r="N964" s="49" t="s">
        <v>71</v>
      </c>
      <c r="O964">
        <v>2019</v>
      </c>
      <c r="P964">
        <v>0.15029999999999999</v>
      </c>
      <c r="Q964" s="10"/>
      <c r="R964" s="11">
        <f>ROUND(Таб[[#This Row],[Зелений Тариф ЕЦ]]+Таб[[#This Row],[Зелений Тариф ЕЦ]]*Таб[[#This Row],[% надбавки]],4)</f>
        <v>0.15029999999999999</v>
      </c>
      <c r="S964" s="12"/>
      <c r="T964"/>
      <c r="BD9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392.49646501534357</v>
      </c>
      <c r="BE9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676.79742354551888</v>
      </c>
      <c r="BF9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1141.8078982264537</v>
      </c>
      <c r="BG9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1622.93259727752</v>
      </c>
      <c r="BH9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1998.1638218962939</v>
      </c>
      <c r="BI9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2071.8288475883232</v>
      </c>
      <c r="BJ9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2105.2083123550242</v>
      </c>
      <c r="BK9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1819.7563377984109</v>
      </c>
      <c r="BL9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1277.6277893461327</v>
      </c>
      <c r="BM9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820.67442685026367</v>
      </c>
      <c r="BN9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379.83528872452598</v>
      </c>
      <c r="BO9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321.13347137619013</v>
      </c>
      <c r="BP964">
        <f>SUM(Таб[[#This Row],[1]:[12]])</f>
        <v>14628.26268</v>
      </c>
    </row>
    <row r="965" spans="2:68" ht="38.25">
      <c r="B965" t="s">
        <v>384</v>
      </c>
      <c r="C965" t="str">
        <f>IFERROR(VLOOKUP(Таб[[#This Row],[Зелений Тариф ЕЦ]],Sheet6!$H$9:$I$29,2,FALSE),"")</f>
        <v>Земля</v>
      </c>
      <c r="D965" t="s">
        <v>3365</v>
      </c>
      <c r="E965" t="s">
        <v>3363</v>
      </c>
      <c r="F965" t="s">
        <v>3364</v>
      </c>
      <c r="G965" s="1" t="s">
        <v>2337</v>
      </c>
      <c r="H965" t="s">
        <v>136</v>
      </c>
      <c r="J965" s="7">
        <v>91.287000000000006</v>
      </c>
      <c r="K965" s="8">
        <v>43816</v>
      </c>
      <c r="L965" s="8">
        <v>43823</v>
      </c>
      <c r="M965">
        <v>12</v>
      </c>
      <c r="N965" s="49" t="s">
        <v>71</v>
      </c>
      <c r="O965">
        <v>2019</v>
      </c>
      <c r="P965">
        <v>0.15029999999999999</v>
      </c>
      <c r="Q965" s="10"/>
      <c r="R965" s="11">
        <f>ROUND(Таб[[#This Row],[Зелений Тариф ЕЦ]]+Таб[[#This Row],[Зелений Тариф ЕЦ]]*Таб[[#This Row],[% надбавки]],4)</f>
        <v>0.15029999999999999</v>
      </c>
      <c r="S965" s="12"/>
      <c r="T965"/>
      <c r="BD9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2939.5212734314273</v>
      </c>
      <c r="BE9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5068.7346298465663</v>
      </c>
      <c r="BF9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8551.3346136186956</v>
      </c>
      <c r="BG9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12154.618755244315</v>
      </c>
      <c r="BH9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14964.835573832719</v>
      </c>
      <c r="BI9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15516.53458116296</v>
      </c>
      <c r="BJ9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15766.523193859472</v>
      </c>
      <c r="BK9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13628.689540454798</v>
      </c>
      <c r="BL9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9568.5296583838244</v>
      </c>
      <c r="BM9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6146.2717535384381</v>
      </c>
      <c r="BN9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2844.6980065465427</v>
      </c>
      <c r="BO9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2405.0628600802584</v>
      </c>
      <c r="BP965">
        <f>SUM(Таб[[#This Row],[1]:[12]])</f>
        <v>109555.35444000002</v>
      </c>
    </row>
    <row r="966" spans="2:68" ht="38.25">
      <c r="B966" t="s">
        <v>384</v>
      </c>
      <c r="C966" t="str">
        <f>IFERROR(VLOOKUP(Таб[[#This Row],[Зелений Тариф ЕЦ]],Sheet6!$H$9:$I$29,2,FALSE),"")</f>
        <v>Земля</v>
      </c>
      <c r="D966" t="s">
        <v>3405</v>
      </c>
      <c r="F966" t="s">
        <v>3287</v>
      </c>
      <c r="G966" s="1" t="s">
        <v>2339</v>
      </c>
      <c r="H966" t="s">
        <v>141</v>
      </c>
      <c r="J966" s="7">
        <v>11.694000000000001</v>
      </c>
      <c r="K966" s="8">
        <v>43812</v>
      </c>
      <c r="L966" s="8">
        <v>43823</v>
      </c>
      <c r="M966">
        <v>12</v>
      </c>
      <c r="N966" s="49" t="s">
        <v>71</v>
      </c>
      <c r="O966">
        <v>2019</v>
      </c>
      <c r="P966">
        <v>0.15029999999999999</v>
      </c>
      <c r="Q966" s="10"/>
      <c r="R966" s="11">
        <f>ROUND(Таб[[#This Row],[Зелений Тариф ЕЦ]]+Таб[[#This Row],[Зелений Тариф ЕЦ]]*Таб[[#This Row],[% надбавки]],4)</f>
        <v>0.15029999999999999</v>
      </c>
      <c r="S966" s="12"/>
      <c r="T966"/>
      <c r="BD9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376.55703190494933</v>
      </c>
      <c r="BE9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649.31241865134962</v>
      </c>
      <c r="BF9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1095.4386382689431</v>
      </c>
      <c r="BG9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1557.024677378236</v>
      </c>
      <c r="BH9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1917.017616970651</v>
      </c>
      <c r="BI9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1987.691077504131</v>
      </c>
      <c r="BJ9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2019.7149893083645</v>
      </c>
      <c r="BK9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1745.8553297411286</v>
      </c>
      <c r="BL9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1225.7428311275476</v>
      </c>
      <c r="BM9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787.34652125580305</v>
      </c>
      <c r="BN9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364.4100308757574</v>
      </c>
      <c r="BO9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308.09211701314035</v>
      </c>
      <c r="BP966">
        <f>SUM(Таб[[#This Row],[1]:[12]])</f>
        <v>14034.20328</v>
      </c>
    </row>
    <row r="967" spans="2:68" ht="38.25">
      <c r="B967" t="s">
        <v>384</v>
      </c>
      <c r="C967" t="str">
        <f>IFERROR(VLOOKUP(Таб[[#This Row],[Зелений Тариф ЕЦ]],Sheet6!$H$9:$I$29,2,FALSE),"")</f>
        <v>Земля</v>
      </c>
      <c r="D967" s="135" t="s">
        <v>3362</v>
      </c>
      <c r="E967" s="135"/>
      <c r="F967" s="135" t="s">
        <v>3287</v>
      </c>
      <c r="G967" s="1" t="s">
        <v>2341</v>
      </c>
      <c r="H967" t="s">
        <v>82</v>
      </c>
      <c r="J967" s="7">
        <v>13.43</v>
      </c>
      <c r="K967" s="8">
        <v>43809</v>
      </c>
      <c r="L967" s="8">
        <v>43823</v>
      </c>
      <c r="M967">
        <v>12</v>
      </c>
      <c r="N967" s="49" t="s">
        <v>71</v>
      </c>
      <c r="O967">
        <v>2019</v>
      </c>
      <c r="P967">
        <v>0.15029999999999999</v>
      </c>
      <c r="Q967" s="10"/>
      <c r="R967" s="11">
        <f>ROUND(Таб[[#This Row],[Зелений Тариф ЕЦ]]+Таб[[#This Row],[Зелений Тариф ЕЦ]]*Таб[[#This Row],[% надбавки]],4)</f>
        <v>0.15029999999999999</v>
      </c>
      <c r="S967" s="12"/>
      <c r="T967"/>
      <c r="BD9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432.45775085372577</v>
      </c>
      <c r="BE9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745.70427419938619</v>
      </c>
      <c r="BF9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1258.0589115744747</v>
      </c>
      <c r="BG9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1788.1684126209771</v>
      </c>
      <c r="BH9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2201.6030952553306</v>
      </c>
      <c r="BI9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2282.7681863246517</v>
      </c>
      <c r="BJ9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2319.5461182154377</v>
      </c>
      <c r="BK9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2005.0313903218193</v>
      </c>
      <c r="BL9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1407.7070482335353</v>
      </c>
      <c r="BM9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904.2298426941536</v>
      </c>
      <c r="BN9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418.50750082618617</v>
      </c>
      <c r="BO9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353.82906888032107</v>
      </c>
      <c r="BP967">
        <f>SUM(Таб[[#This Row],[1]:[12]])</f>
        <v>16117.6116</v>
      </c>
    </row>
    <row r="968" spans="2:68" ht="25.5">
      <c r="B968" t="s">
        <v>384</v>
      </c>
      <c r="C968" t="str">
        <f>IFERROR(VLOOKUP(Таб[[#This Row],[Зелений Тариф ЕЦ]],Sheet6!$H$9:$I$29,2,FALSE),"")</f>
        <v>Земля</v>
      </c>
      <c r="D968" s="135" t="s">
        <v>3362</v>
      </c>
      <c r="E968" s="135"/>
      <c r="F968" s="135" t="s">
        <v>3287</v>
      </c>
      <c r="G968" s="1" t="s">
        <v>2343</v>
      </c>
      <c r="H968" t="s">
        <v>82</v>
      </c>
      <c r="J968" s="7">
        <v>13.092000000000001</v>
      </c>
      <c r="K968" s="8">
        <v>43794</v>
      </c>
      <c r="L968" s="8">
        <v>43823</v>
      </c>
      <c r="M968">
        <v>12</v>
      </c>
      <c r="N968" s="49" t="s">
        <v>71</v>
      </c>
      <c r="O968">
        <v>2019</v>
      </c>
      <c r="P968">
        <v>0.15029999999999999</v>
      </c>
      <c r="Q968" s="10"/>
      <c r="R968" s="11">
        <f>ROUND(Таб[[#This Row],[Зелений Тариф ЕЦ]]+Таб[[#This Row],[Зелений Тариф ЕЦ]]*Таб[[#This Row],[% надбавки]],4)</f>
        <v>0.15029999999999999</v>
      </c>
      <c r="S968" s="12"/>
      <c r="T968"/>
      <c r="BD9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421.5738551136991</v>
      </c>
      <c r="BE9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726.93673550397352</v>
      </c>
      <c r="BF9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1226.3966694216697</v>
      </c>
      <c r="BG9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1743.1646208513653</v>
      </c>
      <c r="BH9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2146.1941714879222</v>
      </c>
      <c r="BI9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2225.316537257062</v>
      </c>
      <c r="BJ9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2261.1688592462037</v>
      </c>
      <c r="BK9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1954.5696918907861</v>
      </c>
      <c r="BL9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1372.2785313085217</v>
      </c>
      <c r="BM9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881.472606146825</v>
      </c>
      <c r="BN9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407.97469849712809</v>
      </c>
      <c r="BO9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344.92406327484457</v>
      </c>
      <c r="BP968">
        <f>SUM(Таб[[#This Row],[1]:[12]])</f>
        <v>15711.97104</v>
      </c>
    </row>
    <row r="969" spans="2:68" ht="25.5">
      <c r="B969" t="s">
        <v>384</v>
      </c>
      <c r="C969" t="str">
        <f>IFERROR(VLOOKUP(Таб[[#This Row],[Зелений Тариф ЕЦ]],Sheet6!$H$9:$I$29,2,FALSE),"")</f>
        <v>Земля</v>
      </c>
      <c r="D969" s="1" t="s">
        <v>3362</v>
      </c>
      <c r="E969" s="1"/>
      <c r="F969" s="1" t="s">
        <v>3287</v>
      </c>
      <c r="G969" s="1" t="s">
        <v>2345</v>
      </c>
      <c r="H969" t="s">
        <v>82</v>
      </c>
      <c r="J969" s="7">
        <v>6.62</v>
      </c>
      <c r="K969" s="8">
        <v>43791</v>
      </c>
      <c r="L969" s="8">
        <v>43823</v>
      </c>
      <c r="M969">
        <v>12</v>
      </c>
      <c r="N969" s="49" t="s">
        <v>71</v>
      </c>
      <c r="O969">
        <v>2019</v>
      </c>
      <c r="P969">
        <v>0.15029999999999999</v>
      </c>
      <c r="Q969" s="10"/>
      <c r="R969" s="11">
        <f>ROUND(Таб[[#This Row],[Зелений Тариф ЕЦ]]+Таб[[#This Row],[Зелений Тариф ЕЦ]]*Таб[[#This Row],[% надбавки]],4)</f>
        <v>0.15029999999999999</v>
      </c>
      <c r="S969" s="12"/>
      <c r="T969"/>
      <c r="BD9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213.16979230466603</v>
      </c>
      <c r="BE9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367.57723717050908</v>
      </c>
      <c r="BF9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620.13030488630113</v>
      </c>
      <c r="BG9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881.4352115823433</v>
      </c>
      <c r="BH9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1085.2280335510268</v>
      </c>
      <c r="BI9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1125.2364403178849</v>
      </c>
      <c r="BJ9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1143.3652496341174</v>
      </c>
      <c r="BK9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988.33267341254236</v>
      </c>
      <c r="BL9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693.89580486269585</v>
      </c>
      <c r="BM9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445.71865663702886</v>
      </c>
      <c r="BN9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206.29334739161229</v>
      </c>
      <c r="BO9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174.41164824927219</v>
      </c>
      <c r="BP969">
        <f>SUM(Таб[[#This Row],[1]:[12]])</f>
        <v>7944.7943999999989</v>
      </c>
    </row>
    <row r="970" spans="2:68" ht="63.75">
      <c r="B970" t="s">
        <v>384</v>
      </c>
      <c r="C970" t="str">
        <f>IFERROR(VLOOKUP(Таб[[#This Row],[Зелений Тариф ЕЦ]],Sheet6!$H$9:$I$29,2,FALSE),"")</f>
        <v>Земля</v>
      </c>
      <c r="D970" t="s">
        <v>3408</v>
      </c>
      <c r="F970" s="135" t="s">
        <v>3287</v>
      </c>
      <c r="G970" s="1" t="s">
        <v>2347</v>
      </c>
      <c r="H970" t="s">
        <v>122</v>
      </c>
      <c r="J970" s="7">
        <v>11.531000000000001</v>
      </c>
      <c r="K970" s="8">
        <v>43796</v>
      </c>
      <c r="L970" s="8">
        <v>43823</v>
      </c>
      <c r="M970">
        <v>12</v>
      </c>
      <c r="N970" s="49" t="s">
        <v>71</v>
      </c>
      <c r="O970">
        <v>2019</v>
      </c>
      <c r="P970">
        <v>0.15029999999999999</v>
      </c>
      <c r="Q970" s="10"/>
      <c r="R970" s="11">
        <f>ROUND(Таб[[#This Row],[Зелений Тариф ЕЦ]]+Таб[[#This Row],[Зелений Тариф ЕЦ]]*Таб[[#This Row],[% надбавки]],4)</f>
        <v>0.15029999999999999</v>
      </c>
      <c r="S970" s="12"/>
      <c r="T970"/>
      <c r="BD9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371.30828928475887</v>
      </c>
      <c r="BE9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640.26180087811781</v>
      </c>
      <c r="BF9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1080.1695688283894</v>
      </c>
      <c r="BG9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1535.3216653709969</v>
      </c>
      <c r="BH9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1890.2967454496816</v>
      </c>
      <c r="BI9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1959.9851047289321</v>
      </c>
      <c r="BJ9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1991.5626425273431</v>
      </c>
      <c r="BK9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1721.5202503202459</v>
      </c>
      <c r="BL9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1208.6574812495082</v>
      </c>
      <c r="BM9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776.37187759540484</v>
      </c>
      <c r="BN9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359.3306025336376</v>
      </c>
      <c r="BO9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303.7976912329845</v>
      </c>
      <c r="BP970">
        <f>SUM(Таб[[#This Row],[1]:[12]])</f>
        <v>13838.583719999999</v>
      </c>
    </row>
    <row r="971" spans="2:68" ht="38.25">
      <c r="B971" t="s">
        <v>384</v>
      </c>
      <c r="C971" t="str">
        <f>IFERROR(VLOOKUP(Таб[[#This Row],[Зелений Тариф ЕЦ]],Sheet6!$H$9:$I$29,2,FALSE),"")</f>
        <v>Земля</v>
      </c>
      <c r="D971" t="s">
        <v>3380</v>
      </c>
      <c r="E971" t="s">
        <v>3380</v>
      </c>
      <c r="F971" t="s">
        <v>3287</v>
      </c>
      <c r="G971" s="1" t="s">
        <v>2349</v>
      </c>
      <c r="H971" t="s">
        <v>122</v>
      </c>
      <c r="J971" s="7">
        <v>19.699000000000002</v>
      </c>
      <c r="K971" s="8">
        <v>43782</v>
      </c>
      <c r="L971" s="8">
        <v>43823</v>
      </c>
      <c r="M971">
        <v>12</v>
      </c>
      <c r="N971" s="49" t="s">
        <v>71</v>
      </c>
      <c r="O971">
        <v>2019</v>
      </c>
      <c r="P971">
        <v>0.15029999999999999</v>
      </c>
      <c r="Q971" s="10"/>
      <c r="R971" s="11">
        <f>ROUND(Таб[[#This Row],[Зелений Тариф ЕЦ]]+Таб[[#This Row],[Зелений Тариф ЕЦ]]*Таб[[#This Row],[% надбавки]],4)</f>
        <v>0.15029999999999999</v>
      </c>
      <c r="S971" s="12"/>
      <c r="T971"/>
      <c r="BD9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634.3250360437487</v>
      </c>
      <c r="BE9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1093.7921442631209</v>
      </c>
      <c r="BF9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1845.309195763632</v>
      </c>
      <c r="BG9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2622.8689173656467</v>
      </c>
      <c r="BH9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3229.2910925863562</v>
      </c>
      <c r="BI9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3348.3432987646556</v>
      </c>
      <c r="BJ9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3402.288829689197</v>
      </c>
      <c r="BK9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2940.9615307482891</v>
      </c>
      <c r="BL9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2064.811700904871</v>
      </c>
      <c r="BM9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1326.3159844551105</v>
      </c>
      <c r="BN9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613.86293810685356</v>
      </c>
      <c r="BO9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518.9932113085215</v>
      </c>
      <c r="BP971">
        <f>SUM(Таб[[#This Row],[1]:[12]])</f>
        <v>23641.163880000007</v>
      </c>
    </row>
    <row r="972" spans="2:68" ht="38.25">
      <c r="B972" t="s">
        <v>384</v>
      </c>
      <c r="C972" t="str">
        <f>IFERROR(VLOOKUP(Таб[[#This Row],[Зелений Тариф ЕЦ]],Sheet6!$H$9:$I$29,2,FALSE),"")</f>
        <v>Земля</v>
      </c>
      <c r="G972" s="1" t="s">
        <v>2351</v>
      </c>
      <c r="H972" t="s">
        <v>65</v>
      </c>
      <c r="J972" s="7">
        <v>1.536</v>
      </c>
      <c r="K972" s="8">
        <v>43803</v>
      </c>
      <c r="L972" s="8">
        <v>43823</v>
      </c>
      <c r="M972">
        <v>12</v>
      </c>
      <c r="N972" s="49" t="s">
        <v>71</v>
      </c>
      <c r="O972">
        <v>2019</v>
      </c>
      <c r="P972">
        <v>0.15029999999999999</v>
      </c>
      <c r="Q972" s="10"/>
      <c r="R972" s="11">
        <f>ROUND(Таб[[#This Row],[Зелений Тариф ЕЦ]]+Таб[[#This Row],[Зелений Тариф ЕЦ]]*Таб[[#This Row],[% надбавки]],4)</f>
        <v>0.15029999999999999</v>
      </c>
      <c r="S972" s="12"/>
      <c r="T972"/>
      <c r="BD9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49.460543954677796</v>
      </c>
      <c r="BE9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85.286803065544106</v>
      </c>
      <c r="BF9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143.88521877724446</v>
      </c>
      <c r="BG9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204.51427265717206</v>
      </c>
      <c r="BH9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251.79913286017785</v>
      </c>
      <c r="BI9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261.0820502006452</v>
      </c>
      <c r="BJ9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265.28837212054452</v>
      </c>
      <c r="BK9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229.31706742623339</v>
      </c>
      <c r="BL9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161.00059762373124</v>
      </c>
      <c r="BM9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103.41750099614447</v>
      </c>
      <c r="BN9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47.865042536784955</v>
      </c>
      <c r="BO9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40.467717781100006</v>
      </c>
      <c r="BP972">
        <f>SUM(Таб[[#This Row],[1]:[12]])</f>
        <v>1843.3843200000001</v>
      </c>
    </row>
    <row r="973" spans="2:68" ht="38.25">
      <c r="B973" t="s">
        <v>384</v>
      </c>
      <c r="C973" t="str">
        <f>IFERROR(VLOOKUP(Таб[[#This Row],[Зелений Тариф ЕЦ]],Sheet6!$H$9:$I$29,2,FALSE),"")</f>
        <v>Земля</v>
      </c>
      <c r="G973" s="1" t="s">
        <v>2353</v>
      </c>
      <c r="H973" t="s">
        <v>172</v>
      </c>
      <c r="J973" s="7">
        <v>1.1080000000000001</v>
      </c>
      <c r="K973" s="8">
        <v>43797</v>
      </c>
      <c r="L973" s="8">
        <v>43823</v>
      </c>
      <c r="M973">
        <v>12</v>
      </c>
      <c r="N973" s="49" t="s">
        <v>71</v>
      </c>
      <c r="O973">
        <v>2019</v>
      </c>
      <c r="P973">
        <v>0.15029999999999999</v>
      </c>
      <c r="Q973" s="10"/>
      <c r="R973" s="11">
        <f>ROUND(Таб[[#This Row],[Зелений Тариф ЕЦ]]+Таб[[#This Row],[Зелений Тариф ЕЦ]]*Таб[[#This Row],[% надбавки]],4)</f>
        <v>0.15029999999999999</v>
      </c>
      <c r="S973" s="12"/>
      <c r="T973"/>
      <c r="BD9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35.678569467306644</v>
      </c>
      <c r="BE9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61.521990753009689</v>
      </c>
      <c r="BF9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103.7922020867102</v>
      </c>
      <c r="BG9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147.52722272405384</v>
      </c>
      <c r="BH9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181.63635365174287</v>
      </c>
      <c r="BI9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188.33262475411127</v>
      </c>
      <c r="BJ9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191.36687259737198</v>
      </c>
      <c r="BK9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165.41882207569441</v>
      </c>
      <c r="BL9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116.13845193170198</v>
      </c>
      <c r="BM9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74.600645249822961</v>
      </c>
      <c r="BN9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34.527647871587071</v>
      </c>
      <c r="BO9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29.191556836887248</v>
      </c>
      <c r="BP973">
        <f>SUM(Таб[[#This Row],[1]:[12]])</f>
        <v>1329.7329600000003</v>
      </c>
    </row>
    <row r="974" spans="2:68" ht="63.75">
      <c r="B974" t="s">
        <v>384</v>
      </c>
      <c r="C974" t="str">
        <f>IFERROR(VLOOKUP(Таб[[#This Row],[Зелений Тариф ЕЦ]],Sheet6!$H$9:$I$29,2,FALSE),"")</f>
        <v>Земля</v>
      </c>
      <c r="G974" s="1" t="s">
        <v>2355</v>
      </c>
      <c r="H974" t="s">
        <v>65</v>
      </c>
      <c r="J974" s="7">
        <v>3.6680000000000001</v>
      </c>
      <c r="K974" s="8">
        <v>43809</v>
      </c>
      <c r="L974" s="8">
        <v>43823</v>
      </c>
      <c r="M974">
        <v>12</v>
      </c>
      <c r="N974" s="49" t="s">
        <v>71</v>
      </c>
      <c r="O974">
        <v>2019</v>
      </c>
      <c r="P974">
        <v>0.15029999999999999</v>
      </c>
      <c r="Q974" s="10"/>
      <c r="R974" s="11">
        <f>ROUND(Таб[[#This Row],[Зелений Тариф ЕЦ]]+Таб[[#This Row],[Зелений Тариф ЕЦ]]*Таб[[#This Row],[% надбавки]],4)</f>
        <v>0.15029999999999999</v>
      </c>
      <c r="S974" s="12"/>
      <c r="T974"/>
      <c r="BD9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118.11280939176962</v>
      </c>
      <c r="BE9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203.66666252891656</v>
      </c>
      <c r="BF9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343.60090004878435</v>
      </c>
      <c r="BG9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488.38434381934064</v>
      </c>
      <c r="BH9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601.30157508537252</v>
      </c>
      <c r="BI9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623.46937508852</v>
      </c>
      <c r="BJ9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633.51415946494615</v>
      </c>
      <c r="BK9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547.61393445275007</v>
      </c>
      <c r="BL9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384.47278130458733</v>
      </c>
      <c r="BM9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246.9631469100637</v>
      </c>
      <c r="BN9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114.30271876622867</v>
      </c>
      <c r="BO9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96.637753138720598</v>
      </c>
      <c r="BP974">
        <f>SUM(Таб[[#This Row],[1]:[12]])</f>
        <v>4402.0401600000005</v>
      </c>
    </row>
    <row r="975" spans="2:68" ht="38.25">
      <c r="B975" t="s">
        <v>384</v>
      </c>
      <c r="C975" t="str">
        <f>IFERROR(VLOOKUP(Таб[[#This Row],[Зелений Тариф ЕЦ]],Sheet6!$H$9:$I$29,2,FALSE),"")</f>
        <v>Земля</v>
      </c>
      <c r="G975" s="1" t="s">
        <v>2357</v>
      </c>
      <c r="H975" t="s">
        <v>172</v>
      </c>
      <c r="J975" s="7">
        <v>1.1519999999999999</v>
      </c>
      <c r="K975" s="8">
        <v>43797</v>
      </c>
      <c r="L975" s="8">
        <v>43823</v>
      </c>
      <c r="M975">
        <v>12</v>
      </c>
      <c r="N975" s="49" t="s">
        <v>71</v>
      </c>
      <c r="O975">
        <v>2019</v>
      </c>
      <c r="P975">
        <v>0.15029999999999999</v>
      </c>
      <c r="Q975" s="10"/>
      <c r="R975" s="11">
        <f>ROUND(Таб[[#This Row],[Зелений Тариф ЕЦ]]+Таб[[#This Row],[Зелений Тариф ЕЦ]]*Таб[[#This Row],[% надбавки]],4)</f>
        <v>0.15029999999999999</v>
      </c>
      <c r="S975" s="12"/>
      <c r="T975"/>
      <c r="BD9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37.095407966008338</v>
      </c>
      <c r="BE9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63.965102299158069</v>
      </c>
      <c r="BF9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107.91391408293333</v>
      </c>
      <c r="BG9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153.38570449287903</v>
      </c>
      <c r="BH9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188.84934964513334</v>
      </c>
      <c r="BI9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195.8115376504839</v>
      </c>
      <c r="BJ9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198.96627909040839</v>
      </c>
      <c r="BK9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171.98780056967504</v>
      </c>
      <c r="BL9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120.75044821779841</v>
      </c>
      <c r="BM9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77.563125747108344</v>
      </c>
      <c r="BN9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35.898781902588716</v>
      </c>
      <c r="BO9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30.350788335825005</v>
      </c>
      <c r="BP975">
        <f>SUM(Таб[[#This Row],[1]:[12]])</f>
        <v>1382.5382399999999</v>
      </c>
    </row>
    <row r="976" spans="2:68" ht="63.75">
      <c r="B976" t="s">
        <v>384</v>
      </c>
      <c r="C976" t="str">
        <f>IFERROR(VLOOKUP(Таб[[#This Row],[Зелений Тариф ЕЦ]],Sheet6!$H$9:$I$29,2,FALSE),"")</f>
        <v>Земля</v>
      </c>
      <c r="G976" s="1" t="s">
        <v>2359</v>
      </c>
      <c r="H976" t="s">
        <v>172</v>
      </c>
      <c r="J976" s="7">
        <v>3.61</v>
      </c>
      <c r="K976" s="8">
        <v>43805</v>
      </c>
      <c r="L976" s="8">
        <v>43823</v>
      </c>
      <c r="M976">
        <v>12</v>
      </c>
      <c r="N976" s="49" t="s">
        <v>71</v>
      </c>
      <c r="O976">
        <v>2019</v>
      </c>
      <c r="P976">
        <v>0.15029999999999999</v>
      </c>
      <c r="Q976" s="10"/>
      <c r="R976" s="11">
        <f>ROUND(Таб[[#This Row],[Зелений Тариф ЕЦ]]+Таб[[#This Row],[Зелений Тариф ЕЦ]]*Таб[[#This Row],[% надбавки]],4)</f>
        <v>0.15029999999999999</v>
      </c>
      <c r="S976" s="12"/>
      <c r="T976"/>
      <c r="BD9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116.24515864348101</v>
      </c>
      <c r="BE9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200.44619730899362</v>
      </c>
      <c r="BF9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338.16773423558107</v>
      </c>
      <c r="BG9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480.66179966952552</v>
      </c>
      <c r="BH9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591.79353491226686</v>
      </c>
      <c r="BI9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613.6108080887559</v>
      </c>
      <c r="BJ9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623.49675999685269</v>
      </c>
      <c r="BK9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538.95482643795731</v>
      </c>
      <c r="BL9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378.39333165473289</v>
      </c>
      <c r="BM9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243.05805898182388</v>
      </c>
      <c r="BN9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112.49531481627193</v>
      </c>
      <c r="BO9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95.109675253757175</v>
      </c>
      <c r="BP976">
        <f>SUM(Таб[[#This Row],[1]:[12]])</f>
        <v>4332.4331999999995</v>
      </c>
    </row>
    <row r="977" spans="2:68" ht="25.5">
      <c r="B977" t="s">
        <v>384</v>
      </c>
      <c r="C977" t="str">
        <f>IFERROR(VLOOKUP(Таб[[#This Row],[Зелений Тариф ЕЦ]],Sheet6!$H$9:$I$29,2,FALSE),"")</f>
        <v>Земля</v>
      </c>
      <c r="G977" s="1" t="s">
        <v>2361</v>
      </c>
      <c r="H977" t="s">
        <v>136</v>
      </c>
      <c r="J977" s="7">
        <v>4.9489999999999998</v>
      </c>
      <c r="K977" s="8">
        <v>43789</v>
      </c>
      <c r="L977" s="8">
        <v>43823</v>
      </c>
      <c r="M977">
        <v>12</v>
      </c>
      <c r="N977" s="49" t="s">
        <v>71</v>
      </c>
      <c r="O977">
        <v>2019</v>
      </c>
      <c r="P977">
        <v>0.15029999999999999</v>
      </c>
      <c r="Q977" s="10"/>
      <c r="R977" s="11">
        <f>ROUND(Таб[[#This Row],[Зелений Тариф ЕЦ]]+Таб[[#This Row],[Зелений Тариф ЕЦ]]*Таб[[#This Row],[% надбавки]],4)</f>
        <v>0.15029999999999999</v>
      </c>
      <c r="S977" s="12"/>
      <c r="T977"/>
      <c r="BD9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159.36213022897161</v>
      </c>
      <c r="BE9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274.79452367928241</v>
      </c>
      <c r="BF9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463.59892430246282</v>
      </c>
      <c r="BG9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658.94605167991176</v>
      </c>
      <c r="BH9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811.29811752930982</v>
      </c>
      <c r="BI9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841.20772554882365</v>
      </c>
      <c r="BJ9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854.76051668266587</v>
      </c>
      <c r="BK9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738.86078560705016</v>
      </c>
      <c r="BL9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518.74476408844134</v>
      </c>
      <c r="BM9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333.21172684239514</v>
      </c>
      <c r="BN9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154.22141635061769</v>
      </c>
      <c r="BO9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130.38719746006768</v>
      </c>
      <c r="BP977">
        <f>SUM(Таб[[#This Row],[1]:[12]])</f>
        <v>5939.3938800000005</v>
      </c>
    </row>
    <row r="978" spans="2:68" ht="38.25">
      <c r="B978" t="s">
        <v>384</v>
      </c>
      <c r="C978" t="str">
        <f>IFERROR(VLOOKUP(Таб[[#This Row],[Зелений Тариф ЕЦ]],Sheet6!$H$9:$I$29,2,FALSE),"")</f>
        <v>Земля</v>
      </c>
      <c r="G978" s="1" t="s">
        <v>2363</v>
      </c>
      <c r="H978" t="s">
        <v>163</v>
      </c>
      <c r="J978" s="7">
        <v>2.371</v>
      </c>
      <c r="K978" s="8">
        <v>43810</v>
      </c>
      <c r="L978" s="8">
        <v>43823</v>
      </c>
      <c r="M978">
        <v>12</v>
      </c>
      <c r="N978" s="49" t="s">
        <v>71</v>
      </c>
      <c r="O978">
        <v>2019</v>
      </c>
      <c r="P978">
        <v>0.15029999999999999</v>
      </c>
      <c r="Q978" s="10"/>
      <c r="R978" s="11">
        <f>ROUND(Таб[[#This Row],[Зелений Тариф ЕЦ]]+Таб[[#This Row],[Зелений Тариф ЕЦ]]*Таб[[#This Row],[% надбавки]],4)</f>
        <v>0.15029999999999999</v>
      </c>
      <c r="S978" s="12"/>
      <c r="T978"/>
      <c r="BD9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76.348274555039751</v>
      </c>
      <c r="BE9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131.65039717995123</v>
      </c>
      <c r="BF9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222.10407143284289</v>
      </c>
      <c r="BG9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315.69227895192381</v>
      </c>
      <c r="BH9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388.68212500747495</v>
      </c>
      <c r="BI9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403.0114199386262</v>
      </c>
      <c r="BJ9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409.50438170430402</v>
      </c>
      <c r="BK9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353.97836384609332</v>
      </c>
      <c r="BL9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248.5237089621528</v>
      </c>
      <c r="BM9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159.63730134235581</v>
      </c>
      <c r="BN9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73.885426988748137</v>
      </c>
      <c r="BO9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62.46677009048706</v>
      </c>
      <c r="BP978">
        <f>SUM(Таб[[#This Row],[1]:[12]])</f>
        <v>2845.48452</v>
      </c>
    </row>
    <row r="979" spans="2:68" ht="38.25">
      <c r="B979" t="s">
        <v>384</v>
      </c>
      <c r="C979" t="str">
        <f>IFERROR(VLOOKUP(Таб[[#This Row],[Зелений Тариф ЕЦ]],Sheet6!$H$9:$I$29,2,FALSE),"")</f>
        <v>Земля</v>
      </c>
      <c r="G979" s="1" t="s">
        <v>2365</v>
      </c>
      <c r="H979" t="s">
        <v>82</v>
      </c>
      <c r="J979" s="7">
        <v>0.47399999999999998</v>
      </c>
      <c r="K979" s="8">
        <v>43790</v>
      </c>
      <c r="L979" s="8">
        <v>43823</v>
      </c>
      <c r="M979">
        <v>12</v>
      </c>
      <c r="N979" s="49" t="s">
        <v>71</v>
      </c>
      <c r="O979">
        <v>2019</v>
      </c>
      <c r="P979">
        <v>0.15029999999999999</v>
      </c>
      <c r="Q979" s="10"/>
      <c r="R979" s="11">
        <f>ROUND(Таб[[#This Row],[Зелений Тариф ЕЦ]]+Таб[[#This Row],[Зелений Тариф ЕЦ]]*Таб[[#This Row],[% надбавки]],4)</f>
        <v>0.15029999999999999</v>
      </c>
      <c r="S979" s="12"/>
      <c r="T979"/>
      <c r="BD9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15.26321473601385</v>
      </c>
      <c r="BE9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26.318974383507751</v>
      </c>
      <c r="BF9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44.402079232040279</v>
      </c>
      <c r="BG9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63.111826327799186</v>
      </c>
      <c r="BH9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77.703638656070495</v>
      </c>
      <c r="BI9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80.568288929105364</v>
      </c>
      <c r="BJ9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81.866333584074283</v>
      </c>
      <c r="BK9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70.765813776064221</v>
      </c>
      <c r="BL9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49.683778172948308</v>
      </c>
      <c r="BM9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31.913994448028959</v>
      </c>
      <c r="BN9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14.770852970335984</v>
      </c>
      <c r="BO9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12.488084784011331</v>
      </c>
      <c r="BP979">
        <f>SUM(Таб[[#This Row],[1]:[12]])</f>
        <v>568.85688000000005</v>
      </c>
    </row>
    <row r="980" spans="2:68" ht="51">
      <c r="B980" t="s">
        <v>384</v>
      </c>
      <c r="C980" t="str">
        <f>IFERROR(VLOOKUP(Таб[[#This Row],[Зелений Тариф ЕЦ]],Sheet6!$H$9:$I$29,2,FALSE),"")</f>
        <v>Земля</v>
      </c>
      <c r="G980" s="1" t="s">
        <v>2367</v>
      </c>
      <c r="H980" t="s">
        <v>233</v>
      </c>
      <c r="J980" s="7">
        <v>9.375</v>
      </c>
      <c r="K980" s="8">
        <v>43810</v>
      </c>
      <c r="L980" s="8">
        <v>43823</v>
      </c>
      <c r="M980">
        <v>12</v>
      </c>
      <c r="N980" s="49" t="s">
        <v>71</v>
      </c>
      <c r="O980">
        <v>2019</v>
      </c>
      <c r="P980">
        <v>0.15029999999999999</v>
      </c>
      <c r="Q980" s="10"/>
      <c r="R980" s="11">
        <f>ROUND(Таб[[#This Row],[Зелений Тариф ЕЦ]]+Таб[[#This Row],[Зелений Тариф ЕЦ]]*Таб[[#This Row],[% надбавки]],4)</f>
        <v>0.15029999999999999</v>
      </c>
      <c r="S980" s="12"/>
      <c r="T980"/>
      <c r="BD9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301.88320284837522</v>
      </c>
      <c r="BE9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520.54933511684635</v>
      </c>
      <c r="BF9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878.20568101345498</v>
      </c>
      <c r="BG9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1248.2560586985601</v>
      </c>
      <c r="BH9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1536.8599417735463</v>
      </c>
      <c r="BI9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1593.5183728066725</v>
      </c>
      <c r="BJ9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1619.1917243685575</v>
      </c>
      <c r="BK9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1399.6403041151939</v>
      </c>
      <c r="BL9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982.66966323078145</v>
      </c>
      <c r="BM9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631.21033322842072</v>
      </c>
      <c r="BN9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292.14503501455664</v>
      </c>
      <c r="BO9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246.99534778503426</v>
      </c>
      <c r="BP980">
        <f>SUM(Таб[[#This Row],[1]:[12]])</f>
        <v>11251.124999999998</v>
      </c>
    </row>
    <row r="981" spans="2:68" ht="38.25">
      <c r="B981" t="s">
        <v>384</v>
      </c>
      <c r="C981" t="str">
        <f>IFERROR(VLOOKUP(Таб[[#This Row],[Зелений Тариф ЕЦ]],Sheet6!$H$9:$I$29,2,FALSE),"")</f>
        <v>Земля</v>
      </c>
      <c r="G981" s="1" t="s">
        <v>2369</v>
      </c>
      <c r="H981" t="s">
        <v>233</v>
      </c>
      <c r="J981" s="7">
        <v>1.0629999999999999</v>
      </c>
      <c r="K981" s="8">
        <v>43748</v>
      </c>
      <c r="L981" s="8">
        <v>43823</v>
      </c>
      <c r="M981">
        <v>12</v>
      </c>
      <c r="N981" s="49" t="s">
        <v>71</v>
      </c>
      <c r="O981">
        <v>2019</v>
      </c>
      <c r="P981">
        <v>0.15029999999999999</v>
      </c>
      <c r="Q981" s="10"/>
      <c r="R981" s="11">
        <f>ROUND(Таб[[#This Row],[Зелений Тариф ЕЦ]]+Таб[[#This Row],[Зелений Тариф ЕЦ]]*Таб[[#This Row],[% надбавки]],4)</f>
        <v>0.15029999999999999</v>
      </c>
      <c r="S981" s="12"/>
      <c r="T981"/>
      <c r="BD9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34.229530093634438</v>
      </c>
      <c r="BE9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59.023353944448822</v>
      </c>
      <c r="BF9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99.576814817845616</v>
      </c>
      <c r="BG9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141.53559364230071</v>
      </c>
      <c r="BH9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174.25942593122983</v>
      </c>
      <c r="BI9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180.68373656463925</v>
      </c>
      <c r="BJ9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183.59475232040285</v>
      </c>
      <c r="BK9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158.70054861594147</v>
      </c>
      <c r="BL9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111.4216375481942</v>
      </c>
      <c r="BM9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71.570835650326529</v>
      </c>
      <c r="BN9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33.125351703517197</v>
      </c>
      <c r="BO9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28.005979167519079</v>
      </c>
      <c r="BP981">
        <f>SUM(Таб[[#This Row],[1]:[12]])</f>
        <v>1275.72756</v>
      </c>
    </row>
    <row r="982" spans="2:68" ht="38.25">
      <c r="B982" t="s">
        <v>384</v>
      </c>
      <c r="C982" t="str">
        <f>IFERROR(VLOOKUP(Таб[[#This Row],[Зелений Тариф ЕЦ]],Sheet6!$H$9:$I$29,2,FALSE),"")</f>
        <v>Земля</v>
      </c>
      <c r="G982" s="1" t="s">
        <v>2371</v>
      </c>
      <c r="H982" t="s">
        <v>233</v>
      </c>
      <c r="J982" s="7">
        <v>1.363</v>
      </c>
      <c r="K982" s="8">
        <v>43748</v>
      </c>
      <c r="L982" s="8">
        <v>43823</v>
      </c>
      <c r="M982">
        <v>12</v>
      </c>
      <c r="N982" s="49" t="s">
        <v>71</v>
      </c>
      <c r="O982">
        <v>2019</v>
      </c>
      <c r="P982">
        <v>0.15029999999999999</v>
      </c>
      <c r="Q982" s="10"/>
      <c r="R982" s="11">
        <f>ROUND(Таб[[#This Row],[Зелений Тариф ЕЦ]]+Таб[[#This Row],[Зелений Тариф ЕЦ]]*Таб[[#This Row],[% надбавки]],4)</f>
        <v>0.15029999999999999</v>
      </c>
      <c r="S982" s="12"/>
      <c r="T982"/>
      <c r="BD9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43.889792584782441</v>
      </c>
      <c r="BE9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75.680932668187907</v>
      </c>
      <c r="BF9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127.67939661027617</v>
      </c>
      <c r="BG9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181.47978752065467</v>
      </c>
      <c r="BH9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223.43894406798333</v>
      </c>
      <c r="BI9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231.67632449445273</v>
      </c>
      <c r="BJ9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235.4088875001967</v>
      </c>
      <c r="BK9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203.48903834762768</v>
      </c>
      <c r="BL9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142.8670667715792</v>
      </c>
      <c r="BM9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91.769566313635991</v>
      </c>
      <c r="BN9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42.473992823983011</v>
      </c>
      <c r="BO9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35.909830296640173</v>
      </c>
      <c r="BP982">
        <f>SUM(Таб[[#This Row],[1]:[12]])</f>
        <v>1635.7635600000001</v>
      </c>
    </row>
    <row r="983" spans="2:68" ht="38.25">
      <c r="B983" t="s">
        <v>384</v>
      </c>
      <c r="C983" t="str">
        <f>IFERROR(VLOOKUP(Таб[[#This Row],[Зелений Тариф ЕЦ]],Sheet6!$H$9:$I$29,2,FALSE),"")</f>
        <v>Земля</v>
      </c>
      <c r="G983" s="1" t="s">
        <v>2373</v>
      </c>
      <c r="H983" t="s">
        <v>69</v>
      </c>
      <c r="J983" s="7">
        <v>5.242</v>
      </c>
      <c r="K983" s="8">
        <v>43815</v>
      </c>
      <c r="L983" s="8">
        <v>43823</v>
      </c>
      <c r="M983">
        <v>12</v>
      </c>
      <c r="N983" s="49" t="s">
        <v>71</v>
      </c>
      <c r="O983">
        <v>2019</v>
      </c>
      <c r="P983">
        <v>0.15029999999999999</v>
      </c>
      <c r="Q983" s="10"/>
      <c r="R983" s="11">
        <f>ROUND(Таб[[#This Row],[Зелений Тариф ЕЦ]]+Таб[[#This Row],[Зелений Тариф ЕЦ]]*Таб[[#This Row],[% надбавки]],4)</f>
        <v>0.15029999999999999</v>
      </c>
      <c r="S983" s="12"/>
      <c r="T983"/>
      <c r="BD9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168.79698659532619</v>
      </c>
      <c r="BE9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291.06342556613424</v>
      </c>
      <c r="BF9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491.04577918640331</v>
      </c>
      <c r="BG9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697.95821436777078</v>
      </c>
      <c r="BH9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859.3301135762058</v>
      </c>
      <c r="BI9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891.0104864269415</v>
      </c>
      <c r="BJ9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905.36565537493118</v>
      </c>
      <c r="BK9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782.60421057833037</v>
      </c>
      <c r="BL9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549.45646662994739</v>
      </c>
      <c r="BM9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352.93915379022735</v>
      </c>
      <c r="BN9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163.35192251160595</v>
      </c>
      <c r="BO9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138.10662539617593</v>
      </c>
      <c r="BP983">
        <f>SUM(Таб[[#This Row],[1]:[12]])</f>
        <v>6291.0290400000004</v>
      </c>
    </row>
    <row r="984" spans="2:68" ht="38.25">
      <c r="B984" t="s">
        <v>384</v>
      </c>
      <c r="C984" t="str">
        <f>IFERROR(VLOOKUP(Таб[[#This Row],[Зелений Тариф ЕЦ]],Sheet6!$H$9:$I$29,2,FALSE),"")</f>
        <v>Земля</v>
      </c>
      <c r="G984" s="1" t="s">
        <v>2375</v>
      </c>
      <c r="H984" t="s">
        <v>62</v>
      </c>
      <c r="J984" s="7">
        <v>1.3520000000000001</v>
      </c>
      <c r="K984" s="8">
        <v>43794</v>
      </c>
      <c r="L984" s="8">
        <v>43823</v>
      </c>
      <c r="M984">
        <v>12</v>
      </c>
      <c r="N984" s="49" t="s">
        <v>71</v>
      </c>
      <c r="O984">
        <v>2019</v>
      </c>
      <c r="P984">
        <v>0.15029999999999999</v>
      </c>
      <c r="Q984" s="10"/>
      <c r="R984" s="11">
        <f>ROUND(Таб[[#This Row],[Зелений Тариф ЕЦ]]+Таб[[#This Row],[Зелений Тариф ЕЦ]]*Таб[[#This Row],[% надбавки]],4)</f>
        <v>0.15029999999999999</v>
      </c>
      <c r="S984" s="12"/>
      <c r="T984"/>
      <c r="BD9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43.535582960107021</v>
      </c>
      <c r="BE9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75.0701547816508</v>
      </c>
      <c r="BF9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126.6489686112204</v>
      </c>
      <c r="BG9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180.01516707844834</v>
      </c>
      <c r="BH9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221.63569506963572</v>
      </c>
      <c r="BI9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229.80659627035959</v>
      </c>
      <c r="BJ9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233.50903587693762</v>
      </c>
      <c r="BK9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201.84679372413251</v>
      </c>
      <c r="BL9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141.7140677000551</v>
      </c>
      <c r="BM9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91.028946189314652</v>
      </c>
      <c r="BN9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42.131209316232599</v>
      </c>
      <c r="BO9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35.620022421905738</v>
      </c>
      <c r="BP984">
        <f>SUM(Таб[[#This Row],[1]:[12]])</f>
        <v>1622.56224</v>
      </c>
    </row>
    <row r="985" spans="2:68" ht="38.25">
      <c r="B985" t="s">
        <v>384</v>
      </c>
      <c r="C985" t="str">
        <f>IFERROR(VLOOKUP(Таб[[#This Row],[Зелений Тариф ЕЦ]],Sheet6!$H$9:$I$29,2,FALSE),"")</f>
        <v>Дах</v>
      </c>
      <c r="G985" s="1" t="s">
        <v>2377</v>
      </c>
      <c r="H985" t="s">
        <v>172</v>
      </c>
      <c r="J985" s="7">
        <v>0.40699999999999997</v>
      </c>
      <c r="K985" s="8">
        <v>43784</v>
      </c>
      <c r="L985" s="8">
        <v>43823</v>
      </c>
      <c r="M985">
        <v>12</v>
      </c>
      <c r="N985" s="49" t="s">
        <v>71</v>
      </c>
      <c r="O985">
        <v>2019</v>
      </c>
      <c r="P985">
        <v>0.16370000000000001</v>
      </c>
      <c r="Q985" s="10"/>
      <c r="R985" s="11">
        <f>ROUND(Таб[[#This Row],[Зелений Тариф ЕЦ]]+Таб[[#This Row],[Зелений Тариф ЕЦ]]*Таб[[#This Row],[% надбавки]],4)</f>
        <v>0.16370000000000001</v>
      </c>
      <c r="S985" s="12"/>
      <c r="T985"/>
      <c r="BD9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13.105756112990793</v>
      </c>
      <c r="BE9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22.59878180187269</v>
      </c>
      <c r="BF9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38.125835965064127</v>
      </c>
      <c r="BG9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54.190956361633482</v>
      </c>
      <c r="BH9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66.720212938862218</v>
      </c>
      <c r="BI9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69.179944291447001</v>
      </c>
      <c r="BJ9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70.294510060586973</v>
      </c>
      <c r="BK9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60.763051069320952</v>
      </c>
      <c r="BL9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42.66096564639232</v>
      </c>
      <c r="BM9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27.402944599889839</v>
      </c>
      <c r="BN9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12.682989786765283</v>
      </c>
      <c r="BO9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10.722891365174286</v>
      </c>
      <c r="BP985">
        <f>SUM(Таб[[#This Row],[1]:[12]])</f>
        <v>488.44883999999996</v>
      </c>
    </row>
    <row r="986" spans="2:68" ht="38.25">
      <c r="B986" t="s">
        <v>384</v>
      </c>
      <c r="C986" t="str">
        <f>IFERROR(VLOOKUP(Таб[[#This Row],[Зелений Тариф ЕЦ]],Sheet6!$H$9:$I$29,2,FALSE),"")</f>
        <v>Дах</v>
      </c>
      <c r="G986" s="1" t="s">
        <v>2379</v>
      </c>
      <c r="H986" t="s">
        <v>122</v>
      </c>
      <c r="J986" s="7">
        <v>0.22700000000000001</v>
      </c>
      <c r="K986" s="8">
        <v>43810</v>
      </c>
      <c r="L986" s="8">
        <v>43823</v>
      </c>
      <c r="M986">
        <v>12</v>
      </c>
      <c r="N986" s="49" t="s">
        <v>71</v>
      </c>
      <c r="O986">
        <v>2019</v>
      </c>
      <c r="P986">
        <v>0.16370000000000001</v>
      </c>
      <c r="Q986" s="10"/>
      <c r="R986" s="11">
        <f>ROUND(Таб[[#This Row],[Зелений Тариф ЕЦ]]+Таб[[#This Row],[Зелений Тариф ЕЦ]]*Таб[[#This Row],[% надбавки]],4)</f>
        <v>0.16370000000000001</v>
      </c>
      <c r="S986" s="12"/>
      <c r="T986"/>
      <c r="BD9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7.3095986183019921</v>
      </c>
      <c r="BE9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12.604234567629241</v>
      </c>
      <c r="BF9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21.264286889605792</v>
      </c>
      <c r="BG9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30.224440034621132</v>
      </c>
      <c r="BH9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37.212502056810138</v>
      </c>
      <c r="BI9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38.5843915335589</v>
      </c>
      <c r="BJ9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39.206028952710682</v>
      </c>
      <c r="BK9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33.889957230309228</v>
      </c>
      <c r="BL9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23.793708112361323</v>
      </c>
      <c r="BM9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15.283706201904163</v>
      </c>
      <c r="BN9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7.0738051144857987</v>
      </c>
      <c r="BO9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5.9805806877016288</v>
      </c>
      <c r="BP986">
        <f>SUM(Таб[[#This Row],[1]:[12]])</f>
        <v>272.42724000000004</v>
      </c>
    </row>
    <row r="987" spans="2:68" ht="63.75">
      <c r="B987" t="s">
        <v>384</v>
      </c>
      <c r="C987" t="str">
        <f>IFERROR(VLOOKUP(Таб[[#This Row],[Зелений Тариф ЕЦ]],Sheet6!$H$9:$I$29,2,FALSE),"")</f>
        <v>Дах</v>
      </c>
      <c r="G987" s="1" t="s">
        <v>2381</v>
      </c>
      <c r="H987" t="s">
        <v>172</v>
      </c>
      <c r="J987" s="7">
        <v>0.58499999999999996</v>
      </c>
      <c r="K987" s="8">
        <v>43815</v>
      </c>
      <c r="L987" s="8">
        <v>43823</v>
      </c>
      <c r="M987">
        <v>12</v>
      </c>
      <c r="N987" s="49" t="s">
        <v>71</v>
      </c>
      <c r="O987">
        <v>2019</v>
      </c>
      <c r="P987">
        <v>0.16370000000000001</v>
      </c>
      <c r="Q987" s="10"/>
      <c r="R987" s="11">
        <f>ROUND(Таб[[#This Row],[Зелений Тариф ЕЦ]]+Таб[[#This Row],[Зелений Тариф ЕЦ]]*Таб[[#This Row],[% надбавки]],4)</f>
        <v>0.16370000000000001</v>
      </c>
      <c r="S987" s="12"/>
      <c r="T987"/>
      <c r="BD9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18.837511857738612</v>
      </c>
      <c r="BE9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32.482278511291213</v>
      </c>
      <c r="BF9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54.800034495239586</v>
      </c>
      <c r="BG9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77.891178062790146</v>
      </c>
      <c r="BH9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95.900060366669294</v>
      </c>
      <c r="BI9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99.435546463136362</v>
      </c>
      <c r="BJ9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101.03756360059801</v>
      </c>
      <c r="BK9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87.337554976788098</v>
      </c>
      <c r="BL9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61.31858698560076</v>
      </c>
      <c r="BM9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39.387524793453451</v>
      </c>
      <c r="BN9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18.229850184908333</v>
      </c>
      <c r="BO9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15.412509701786139</v>
      </c>
      <c r="BP987">
        <f>SUM(Таб[[#This Row],[1]:[12]])</f>
        <v>702.07019999999977</v>
      </c>
    </row>
    <row r="988" spans="2:68" ht="51">
      <c r="B988" t="s">
        <v>384</v>
      </c>
      <c r="C988" t="str">
        <f>IFERROR(VLOOKUP(Таб[[#This Row],[Зелений Тариф ЕЦ]],Sheet6!$H$9:$I$29,2,FALSE),"")</f>
        <v>Дах</v>
      </c>
      <c r="G988" s="1" t="s">
        <v>2383</v>
      </c>
      <c r="H988" t="s">
        <v>65</v>
      </c>
      <c r="J988" s="7">
        <v>0.57799999999999996</v>
      </c>
      <c r="K988" s="8">
        <v>43805</v>
      </c>
      <c r="L988" s="8">
        <v>43823</v>
      </c>
      <c r="M988">
        <v>12</v>
      </c>
      <c r="N988" s="49" t="s">
        <v>71</v>
      </c>
      <c r="O988">
        <v>2019</v>
      </c>
      <c r="P988">
        <v>0.16370000000000001</v>
      </c>
      <c r="Q988" s="10"/>
      <c r="R988" s="11">
        <f>ROUND(Таб[[#This Row],[Зелений Тариф ЕЦ]]+Таб[[#This Row],[Зелений Тариф ЕЦ]]*Таб[[#This Row],[% надбавки]],4)</f>
        <v>0.16370000000000001</v>
      </c>
      <c r="S988" s="12"/>
      <c r="T988"/>
      <c r="BD9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18.61210573294516</v>
      </c>
      <c r="BE9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32.09360167440397</v>
      </c>
      <c r="BF9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54.144307586749548</v>
      </c>
      <c r="BG9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76.959146872295221</v>
      </c>
      <c r="BH9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94.752538276811705</v>
      </c>
      <c r="BI9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98.245719411440717</v>
      </c>
      <c r="BJ9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99.828567113069482</v>
      </c>
      <c r="BK9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86.292490216382092</v>
      </c>
      <c r="BL9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60.584860303721776</v>
      </c>
      <c r="BM9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38.916221077976232</v>
      </c>
      <c r="BN9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18.011715225430798</v>
      </c>
      <c r="BO9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15.228086508773309</v>
      </c>
      <c r="BP988">
        <f>SUM(Таб[[#This Row],[1]:[12]])</f>
        <v>693.6693600000001</v>
      </c>
    </row>
    <row r="989" spans="2:68" ht="38.25">
      <c r="B989" t="s">
        <v>384</v>
      </c>
      <c r="C989" t="str">
        <f>IFERROR(VLOOKUP(Таб[[#This Row],[Зелений Тариф ЕЦ]],Sheet6!$H$9:$I$29,2,FALSE),"")</f>
        <v>Дах</v>
      </c>
      <c r="G989" s="1" t="s">
        <v>2385</v>
      </c>
      <c r="H989" t="s">
        <v>62</v>
      </c>
      <c r="J989" s="7">
        <v>0.252</v>
      </c>
      <c r="K989" s="8">
        <v>43811</v>
      </c>
      <c r="L989" s="8">
        <v>43823</v>
      </c>
      <c r="M989">
        <v>12</v>
      </c>
      <c r="N989" s="49" t="s">
        <v>71</v>
      </c>
      <c r="O989">
        <v>2019</v>
      </c>
      <c r="P989">
        <v>0.16370000000000001</v>
      </c>
      <c r="Q989" s="10"/>
      <c r="R989" s="11">
        <f>ROUND(Таб[[#This Row],[Зелений Тариф ЕЦ]]+Таб[[#This Row],[Зелений Тариф ЕЦ]]*Таб[[#This Row],[% надбавки]],4)</f>
        <v>0.16370000000000001</v>
      </c>
      <c r="S989" s="12"/>
      <c r="T989"/>
      <c r="BD9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8.1146204925643257</v>
      </c>
      <c r="BE9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13.99236612794083</v>
      </c>
      <c r="BF9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23.606168705641668</v>
      </c>
      <c r="BG9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33.553122857817293</v>
      </c>
      <c r="BH9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41.310795234872927</v>
      </c>
      <c r="BI9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42.833773861043355</v>
      </c>
      <c r="BJ9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43.523873551026824</v>
      </c>
      <c r="BK9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37.622331374616415</v>
      </c>
      <c r="BL9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26.414160547643405</v>
      </c>
      <c r="BM9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16.966933757179952</v>
      </c>
      <c r="BN9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7.8528585411912832</v>
      </c>
      <c r="BO9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6.6392349484617199</v>
      </c>
      <c r="BP989">
        <f>SUM(Таб[[#This Row],[1]:[12]])</f>
        <v>302.43023999999997</v>
      </c>
    </row>
    <row r="990" spans="2:68" ht="102">
      <c r="B990" t="s">
        <v>384</v>
      </c>
      <c r="C990" t="str">
        <f>IFERROR(VLOOKUP(Таб[[#This Row],[Зелений Тариф ЕЦ]],Sheet6!$H$9:$I$29,2,FALSE),"")</f>
        <v>Дах</v>
      </c>
      <c r="G990" s="1" t="s">
        <v>2387</v>
      </c>
      <c r="H990" t="s">
        <v>263</v>
      </c>
      <c r="J990" s="7">
        <v>0.47099999999999997</v>
      </c>
      <c r="K990" s="8">
        <v>43808</v>
      </c>
      <c r="L990" s="8">
        <v>43823</v>
      </c>
      <c r="M990">
        <v>12</v>
      </c>
      <c r="N990" s="49" t="s">
        <v>71</v>
      </c>
      <c r="O990">
        <v>2019</v>
      </c>
      <c r="P990">
        <v>0.16370000000000001</v>
      </c>
      <c r="Q990" s="10"/>
      <c r="R990" s="11">
        <f>ROUND(Таб[[#This Row],[Зелений Тариф ЕЦ]]+Таб[[#This Row],[Зелений Тариф ЕЦ]]*Таб[[#This Row],[% надбавки]],4)</f>
        <v>0.16370000000000001</v>
      </c>
      <c r="S990" s="12"/>
      <c r="T990"/>
      <c r="BD9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15.166612111102367</v>
      </c>
      <c r="BE9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26.152398596270359</v>
      </c>
      <c r="BF9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44.121053414115977</v>
      </c>
      <c r="BG9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62.712384389015654</v>
      </c>
      <c r="BH9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77.21184347470296</v>
      </c>
      <c r="BI9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80.058363049807213</v>
      </c>
      <c r="BJ9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81.348192232276332</v>
      </c>
      <c r="BK9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70.317928878747338</v>
      </c>
      <c r="BL9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49.369323880714447</v>
      </c>
      <c r="BM9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31.712007141395858</v>
      </c>
      <c r="BN9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14.677366559131325</v>
      </c>
      <c r="BO9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12.409046272720122</v>
      </c>
      <c r="BP990">
        <f>SUM(Таб[[#This Row],[1]:[12]])</f>
        <v>565.25652000000002</v>
      </c>
    </row>
    <row r="991" spans="2:68" ht="51">
      <c r="B991" t="s">
        <v>384</v>
      </c>
      <c r="C991" t="str">
        <f>IFERROR(VLOOKUP(Таб[[#This Row],[Зелений Тариф ЕЦ]],Sheet6!$H$9:$I$29,2,FALSE),"")</f>
        <v>Дах</v>
      </c>
      <c r="G991" s="1" t="s">
        <v>3317</v>
      </c>
      <c r="H991" t="s">
        <v>98</v>
      </c>
      <c r="J991" s="7">
        <v>1.0369999999999999</v>
      </c>
      <c r="K991" s="8">
        <v>43811</v>
      </c>
      <c r="L991" s="8">
        <v>43823</v>
      </c>
      <c r="M991">
        <v>12</v>
      </c>
      <c r="N991" s="94" t="s">
        <v>71</v>
      </c>
      <c r="O991">
        <v>2019</v>
      </c>
      <c r="P991">
        <v>0.16370000000000001</v>
      </c>
      <c r="Q991" s="10"/>
      <c r="R991" s="11">
        <f>ROUND(Таб[[#This Row],[Зелений Тариф ЕЦ]]+Таб[[#This Row],[Зелений Тариф ЕЦ]]*Таб[[#This Row],[% надбавки]],4)</f>
        <v>0.16370000000000001</v>
      </c>
      <c r="S991" s="12"/>
      <c r="T991"/>
      <c r="BD9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33.392307344401608</v>
      </c>
      <c r="BE9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57.579697121724763</v>
      </c>
      <c r="BF9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97.141257729168288</v>
      </c>
      <c r="BG9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138.0737635061767</v>
      </c>
      <c r="BH9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169.99720102604451</v>
      </c>
      <c r="BI9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176.26437894405538</v>
      </c>
      <c r="BJ9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179.10419393815403</v>
      </c>
      <c r="BK9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154.81887950586199</v>
      </c>
      <c r="BL9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108.69636701550083</v>
      </c>
      <c r="BM9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69.820278992839718</v>
      </c>
      <c r="BN9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32.315136139743487</v>
      </c>
      <c r="BO9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27.320978736328588</v>
      </c>
      <c r="BP991">
        <f>SUM(Таб[[#This Row],[1]:[12]])</f>
        <v>1244.5244400000001</v>
      </c>
    </row>
    <row r="992" spans="2:68" ht="38.25">
      <c r="B992" t="s">
        <v>384</v>
      </c>
      <c r="C992" t="str">
        <f>IFERROR(VLOOKUP(Таб[[#This Row],[Зелений Тариф ЕЦ]],Sheet6!$H$9:$I$29,2,FALSE),"")</f>
        <v>Земля</v>
      </c>
      <c r="D992" t="s">
        <v>3371</v>
      </c>
      <c r="E992" t="s">
        <v>3371</v>
      </c>
      <c r="F992" t="s">
        <v>3286</v>
      </c>
      <c r="G992" s="1" t="s">
        <v>2389</v>
      </c>
      <c r="H992" t="s">
        <v>163</v>
      </c>
      <c r="J992" s="7">
        <v>31.92</v>
      </c>
      <c r="K992" s="8">
        <v>43748</v>
      </c>
      <c r="L992" s="8">
        <v>43823</v>
      </c>
      <c r="M992">
        <v>12</v>
      </c>
      <c r="N992" s="49" t="s">
        <v>71</v>
      </c>
      <c r="O992">
        <v>2019</v>
      </c>
      <c r="P992">
        <v>0.15029999999999999</v>
      </c>
      <c r="Q992" s="10"/>
      <c r="R992" s="11">
        <f>ROUND(Таб[[#This Row],[Зелений Тариф ЕЦ]]+Таб[[#This Row],[Зелений Тариф ЕЦ]]*Таб[[#This Row],[% надбавки]],4)</f>
        <v>0.15029999999999999</v>
      </c>
      <c r="S992" s="12"/>
      <c r="T992"/>
      <c r="BD9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1027.851929058148</v>
      </c>
      <c r="BE9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1772.3663762058384</v>
      </c>
      <c r="BF9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2990.1147027146121</v>
      </c>
      <c r="BG9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4250.0622286568578</v>
      </c>
      <c r="BH9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5232.7007297505706</v>
      </c>
      <c r="BI9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5425.6113557321587</v>
      </c>
      <c r="BJ9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5513.023983130066</v>
      </c>
      <c r="BK9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4765.4953074514124</v>
      </c>
      <c r="BL9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3345.7936693681645</v>
      </c>
      <c r="BM9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2149.1449425761271</v>
      </c>
      <c r="BN9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994.69541521756264</v>
      </c>
      <c r="BO9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840.96976013848462</v>
      </c>
      <c r="BP992">
        <f>SUM(Таб[[#This Row],[1]:[12]])</f>
        <v>38307.830399999992</v>
      </c>
    </row>
    <row r="993" spans="2:68" ht="38.25">
      <c r="B993" t="s">
        <v>384</v>
      </c>
      <c r="C993" t="str">
        <f>IFERROR(VLOOKUP(Таб[[#This Row],[Зелений Тариф ЕЦ]],Sheet6!$H$9:$I$29,2,FALSE),"")</f>
        <v>Земля</v>
      </c>
      <c r="G993" s="1" t="s">
        <v>2391</v>
      </c>
      <c r="H993" t="s">
        <v>198</v>
      </c>
      <c r="J993" s="7">
        <v>0.26100000000000001</v>
      </c>
      <c r="K993" s="8">
        <v>43783</v>
      </c>
      <c r="L993" s="8">
        <v>43823</v>
      </c>
      <c r="M993">
        <v>12</v>
      </c>
      <c r="N993" s="49" t="s">
        <v>71</v>
      </c>
      <c r="O993">
        <v>2019</v>
      </c>
      <c r="P993">
        <v>0.15029999999999999</v>
      </c>
      <c r="Q993" s="10"/>
      <c r="R993" s="11">
        <f>ROUND(Таб[[#This Row],[Зелений Тариф ЕЦ]]+Таб[[#This Row],[Зелений Тариф ЕЦ]]*Таб[[#This Row],[% надбавки]],4)</f>
        <v>0.15029999999999999</v>
      </c>
      <c r="S993" s="12"/>
      <c r="T993"/>
      <c r="BD9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8.4044283672987667</v>
      </c>
      <c r="BE9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14.492093489653003</v>
      </c>
      <c r="BF9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24.449246159414585</v>
      </c>
      <c r="BG9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34.751448674167911</v>
      </c>
      <c r="BH9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42.786180778975528</v>
      </c>
      <c r="BI9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44.363551498937767</v>
      </c>
      <c r="BJ9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45.078297606420648</v>
      </c>
      <c r="BK9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38.965986066566998</v>
      </c>
      <c r="BL9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27.357523424344954</v>
      </c>
      <c r="BM9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17.572895677079234</v>
      </c>
      <c r="BN9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8.1333177748052581</v>
      </c>
      <c r="BO9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6.8763504823353534</v>
      </c>
      <c r="BP993">
        <f>SUM(Таб[[#This Row],[1]:[12]])</f>
        <v>313.23132000000004</v>
      </c>
    </row>
    <row r="994" spans="2:68" ht="38.25">
      <c r="B994" t="s">
        <v>384</v>
      </c>
      <c r="C994" t="str">
        <f>IFERROR(VLOOKUP(Таб[[#This Row],[Зелений Тариф ЕЦ]],Sheet6!$H$9:$I$29,2,FALSE),"")</f>
        <v>Дах</v>
      </c>
      <c r="G994" s="1" t="s">
        <v>2393</v>
      </c>
      <c r="H994" t="s">
        <v>65</v>
      </c>
      <c r="J994" s="7">
        <v>1.2669999999999999</v>
      </c>
      <c r="K994" s="8">
        <v>43796</v>
      </c>
      <c r="L994" s="8">
        <v>43823</v>
      </c>
      <c r="M994">
        <v>12</v>
      </c>
      <c r="N994" s="49" t="s">
        <v>71</v>
      </c>
      <c r="O994">
        <v>2019</v>
      </c>
      <c r="P994">
        <v>0.16370000000000001</v>
      </c>
      <c r="Q994" s="10"/>
      <c r="R994" s="11">
        <f>ROUND(Таб[[#This Row],[Зелений Тариф ЕЦ]]+Таб[[#This Row],[Зелений Тариф ЕЦ]]*Таб[[#This Row],[% надбавки]],4)</f>
        <v>0.16370000000000001</v>
      </c>
      <c r="S994" s="12"/>
      <c r="T994"/>
      <c r="BD9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40.798508587615082</v>
      </c>
      <c r="BE9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70.350507476591389</v>
      </c>
      <c r="BF9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118.6865704366984</v>
      </c>
      <c r="BG9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168.69764547958135</v>
      </c>
      <c r="BH9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207.70149826422221</v>
      </c>
      <c r="BI9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215.35869635691245</v>
      </c>
      <c r="BJ9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218.82836424266264</v>
      </c>
      <c r="BK9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189.15672163348805</v>
      </c>
      <c r="BL9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132.804529420096</v>
      </c>
      <c r="BM9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85.305972501376971</v>
      </c>
      <c r="BN9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39.482427665433946</v>
      </c>
      <c r="BO9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33.380597935321418</v>
      </c>
      <c r="BP994">
        <f>SUM(Таб[[#This Row],[1]:[12]])</f>
        <v>1520.5520400000003</v>
      </c>
    </row>
    <row r="995" spans="2:68" ht="51">
      <c r="B995" t="s">
        <v>384</v>
      </c>
      <c r="C995" t="str">
        <f>IFERROR(VLOOKUP(Таб[[#This Row],[Зелений Тариф ЕЦ]],Sheet6!$H$9:$I$29,2,FALSE),"")</f>
        <v>Дах</v>
      </c>
      <c r="G995" s="1" t="s">
        <v>2395</v>
      </c>
      <c r="H995" t="s">
        <v>233</v>
      </c>
      <c r="J995" s="7">
        <v>0.88900000000000001</v>
      </c>
      <c r="K995" s="8">
        <v>43788</v>
      </c>
      <c r="L995" s="8">
        <v>43823</v>
      </c>
      <c r="M995">
        <v>12</v>
      </c>
      <c r="N995" s="49" t="s">
        <v>71</v>
      </c>
      <c r="O995">
        <v>2019</v>
      </c>
      <c r="P995">
        <v>0.16370000000000001</v>
      </c>
      <c r="Q995" s="10"/>
      <c r="R995" s="11">
        <f>ROUND(Таб[[#This Row],[Зелений Тариф ЕЦ]]+Таб[[#This Row],[Зелений Тариф ЕЦ]]*Таб[[#This Row],[% надбавки]],4)</f>
        <v>0.16370000000000001</v>
      </c>
      <c r="S995" s="12"/>
      <c r="T995"/>
      <c r="BD9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28.626577848768594</v>
      </c>
      <c r="BE9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49.361958284680156</v>
      </c>
      <c r="BF9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83.277317378235892</v>
      </c>
      <c r="BG9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118.36796119285546</v>
      </c>
      <c r="BH9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145.73530541191283</v>
      </c>
      <c r="BI9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151.10803556534739</v>
      </c>
      <c r="BJ9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153.54255391612244</v>
      </c>
      <c r="BK9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132.72322457156346</v>
      </c>
      <c r="BL9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93.183288598630895</v>
      </c>
      <c r="BM9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59.855571865607047</v>
      </c>
      <c r="BN9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27.703139853647027</v>
      </c>
      <c r="BO9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23.421745512628846</v>
      </c>
      <c r="BP995">
        <f>SUM(Таб[[#This Row],[1]:[12]])</f>
        <v>1066.9066799999998</v>
      </c>
    </row>
    <row r="996" spans="2:68" ht="38.25">
      <c r="B996" t="s">
        <v>384</v>
      </c>
      <c r="C996" t="str">
        <f>IFERROR(VLOOKUP(Таб[[#This Row],[Зелений Тариф ЕЦ]],Sheet6!$H$9:$I$29,2,FALSE),"")</f>
        <v>Дах</v>
      </c>
      <c r="G996" s="1" t="s">
        <v>2397</v>
      </c>
      <c r="H996" t="s">
        <v>172</v>
      </c>
      <c r="J996" s="7">
        <v>0.161</v>
      </c>
      <c r="K996" s="8">
        <v>43815</v>
      </c>
      <c r="L996" s="8">
        <v>43823</v>
      </c>
      <c r="M996">
        <v>12</v>
      </c>
      <c r="N996" s="49" t="s">
        <v>71</v>
      </c>
      <c r="O996">
        <v>2019</v>
      </c>
      <c r="P996">
        <v>0.16370000000000001</v>
      </c>
      <c r="Q996" s="10"/>
      <c r="R996" s="11">
        <f>ROUND(Таб[[#This Row],[Зелений Тариф ЕЦ]]+Таб[[#This Row],[Зелений Тариф ЕЦ]]*Таб[[#This Row],[% надбавки]],4)</f>
        <v>0.16370000000000001</v>
      </c>
      <c r="S996" s="12"/>
      <c r="T996"/>
      <c r="BD9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5.1843408702494305</v>
      </c>
      <c r="BE9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8.9395672484066413</v>
      </c>
      <c r="BF9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15.081718895271067</v>
      </c>
      <c r="BG9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21.436717381383271</v>
      </c>
      <c r="BH9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26.39300806672437</v>
      </c>
      <c r="BI9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27.366022188999921</v>
      </c>
      <c r="BJ9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27.806919213156036</v>
      </c>
      <c r="BK9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24.036489489338269</v>
      </c>
      <c r="BL9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16.87571368321662</v>
      </c>
      <c r="BM9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10.83998545597608</v>
      </c>
      <c r="BN9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5.0171040679833192</v>
      </c>
      <c r="BO9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4.2417334392949879</v>
      </c>
      <c r="BP996">
        <f>SUM(Таб[[#This Row],[1]:[12]])</f>
        <v>193.21932000000004</v>
      </c>
    </row>
    <row r="997" spans="2:68" ht="51">
      <c r="B997" t="s">
        <v>384</v>
      </c>
      <c r="C997" t="str">
        <f>IFERROR(VLOOKUP(Таб[[#This Row],[Зелений Тариф ЕЦ]],Sheet6!$H$9:$I$29,2,FALSE),"")</f>
        <v>Дах</v>
      </c>
      <c r="G997" s="1" t="s">
        <v>2399</v>
      </c>
      <c r="H997" t="s">
        <v>107</v>
      </c>
      <c r="J997" s="7">
        <v>2.7919999999999998</v>
      </c>
      <c r="K997" s="8">
        <v>43803</v>
      </c>
      <c r="L997" s="8">
        <v>43823</v>
      </c>
      <c r="M997">
        <v>12</v>
      </c>
      <c r="N997" s="49" t="s">
        <v>71</v>
      </c>
      <c r="O997">
        <v>2019</v>
      </c>
      <c r="P997">
        <v>0.16370000000000001</v>
      </c>
      <c r="Q997" s="10"/>
      <c r="R997" s="11">
        <f>ROUND(Таб[[#This Row],[Зелений Тариф ЕЦ]]+Таб[[#This Row],[Зелений Тариф ЕЦ]]*Таб[[#This Row],[% надбавки]],4)</f>
        <v>0.16370000000000001</v>
      </c>
      <c r="S997" s="12"/>
      <c r="T997"/>
      <c r="BD9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89.904842917617444</v>
      </c>
      <c r="BE9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155.0265326555984</v>
      </c>
      <c r="BF9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261.54136121488705</v>
      </c>
      <c r="BG9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371.74729769454717</v>
      </c>
      <c r="BH9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457.69738212605233</v>
      </c>
      <c r="BI9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474.57101833346451</v>
      </c>
      <c r="BJ9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482.216884739948</v>
      </c>
      <c r="BK9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416.8315444362263</v>
      </c>
      <c r="BL9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292.65212797230311</v>
      </c>
      <c r="BM9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187.9828533732001</v>
      </c>
      <c r="BN9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87.004686694468489</v>
      </c>
      <c r="BO9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73.558507841686989</v>
      </c>
      <c r="BP997">
        <f>SUM(Таб[[#This Row],[1]:[12]])</f>
        <v>3350.73504</v>
      </c>
    </row>
    <row r="998" spans="2:68" ht="38.25">
      <c r="B998" t="s">
        <v>384</v>
      </c>
      <c r="C998" t="str">
        <f>IFERROR(VLOOKUP(Таб[[#This Row],[Зелений Тариф ЕЦ]],Sheet6!$H$9:$I$29,2,FALSE),"")</f>
        <v>Земля</v>
      </c>
      <c r="D998" t="s">
        <v>3374</v>
      </c>
      <c r="E998" t="s">
        <v>3374</v>
      </c>
      <c r="F998" t="s">
        <v>3375</v>
      </c>
      <c r="G998" s="1" t="s">
        <v>2401</v>
      </c>
      <c r="H998" t="s">
        <v>101</v>
      </c>
      <c r="J998" s="7">
        <v>17.728000000000002</v>
      </c>
      <c r="K998" s="8">
        <v>43777</v>
      </c>
      <c r="L998" s="8">
        <v>43833</v>
      </c>
      <c r="M998">
        <v>1</v>
      </c>
      <c r="N998" s="49" t="s">
        <v>67</v>
      </c>
      <c r="O998">
        <v>2020</v>
      </c>
      <c r="P998">
        <v>0.15029999999999999</v>
      </c>
      <c r="Q998" s="10"/>
      <c r="R998" s="11">
        <f>ROUND(Таб[[#This Row],[Зелений Тариф ЕЦ]]+Таб[[#This Row],[Зелений Тариф ЕЦ]]*Таб[[#This Row],[% надбавки]],4)</f>
        <v>0.15029999999999999</v>
      </c>
      <c r="S998" s="12"/>
      <c r="T998"/>
      <c r="BD9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570.85711147690631</v>
      </c>
      <c r="BE9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984.35185204815502</v>
      </c>
      <c r="BF9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1660.6752333873633</v>
      </c>
      <c r="BG9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2360.4355635848615</v>
      </c>
      <c r="BH9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2906.1816584278858</v>
      </c>
      <c r="BI9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3013.3219960657802</v>
      </c>
      <c r="BJ9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3061.8699615579517</v>
      </c>
      <c r="BK9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2646.7011532111105</v>
      </c>
      <c r="BL9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1858.2152309072317</v>
      </c>
      <c r="BM9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1193.6103239971674</v>
      </c>
      <c r="BN9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552.44236594539314</v>
      </c>
      <c r="BO9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467.06490939019596</v>
      </c>
      <c r="BP998">
        <f>SUM(Таб[[#This Row],[1]:[12]])</f>
        <v>21275.727360000004</v>
      </c>
    </row>
    <row r="999" spans="2:68" ht="51">
      <c r="B999" t="s">
        <v>384</v>
      </c>
      <c r="C999" t="str">
        <f>IFERROR(VLOOKUP(Таб[[#This Row],[Зелений Тариф ЕЦ]],Sheet6!$H$9:$I$29,2,FALSE),"")</f>
        <v>Земля</v>
      </c>
      <c r="D999" t="s">
        <v>3374</v>
      </c>
      <c r="E999" t="s">
        <v>3374</v>
      </c>
      <c r="F999" t="s">
        <v>3375</v>
      </c>
      <c r="G999" s="1" t="s">
        <v>2403</v>
      </c>
      <c r="H999" t="s">
        <v>101</v>
      </c>
      <c r="J999" s="7">
        <v>12.156000000000001</v>
      </c>
      <c r="K999" s="8">
        <v>43777</v>
      </c>
      <c r="L999" s="8">
        <v>43833</v>
      </c>
      <c r="M999">
        <v>1</v>
      </c>
      <c r="N999" s="49" t="s">
        <v>67</v>
      </c>
      <c r="O999">
        <v>2020</v>
      </c>
      <c r="P999">
        <v>0.15029999999999999</v>
      </c>
      <c r="Q999" s="10"/>
      <c r="R999" s="11">
        <f>ROUND(Таб[[#This Row],[Зелений Тариф ЕЦ]]+Таб[[#This Row],[Зелений Тариф ЕЦ]]*Таб[[#This Row],[% надбавки]],4)</f>
        <v>0.15029999999999999</v>
      </c>
      <c r="S999" s="12"/>
      <c r="T999"/>
      <c r="BD9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391.43383614131722</v>
      </c>
      <c r="BE9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674.96508988590767</v>
      </c>
      <c r="BF9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1138.7166142292863</v>
      </c>
      <c r="BG9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1618.5387359509009</v>
      </c>
      <c r="BH9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1992.754074901251</v>
      </c>
      <c r="BI9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2066.2196629160439</v>
      </c>
      <c r="BJ9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2099.5087574852469</v>
      </c>
      <c r="BK9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1814.8296039279253</v>
      </c>
      <c r="BL9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1274.1687921315604</v>
      </c>
      <c r="BM9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818.45256647729957</v>
      </c>
      <c r="BN9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378.80693820127476</v>
      </c>
      <c r="BO9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320.26404775198682</v>
      </c>
      <c r="BP999">
        <f>SUM(Таб[[#This Row],[1]:[12]])</f>
        <v>14588.658720000001</v>
      </c>
    </row>
    <row r="1000" spans="2:68" ht="51">
      <c r="B1000" t="s">
        <v>384</v>
      </c>
      <c r="C1000" t="str">
        <f>IFERROR(VLOOKUP(Таб[[#This Row],[Зелений Тариф ЕЦ]],Sheet6!$H$9:$I$29,2,FALSE),"")</f>
        <v>Земля</v>
      </c>
      <c r="D1000" t="s">
        <v>3374</v>
      </c>
      <c r="E1000" t="s">
        <v>3374</v>
      </c>
      <c r="F1000" t="s">
        <v>3375</v>
      </c>
      <c r="G1000" s="1" t="s">
        <v>2405</v>
      </c>
      <c r="H1000" t="s">
        <v>101</v>
      </c>
      <c r="J1000" s="7">
        <v>12.156000000000001</v>
      </c>
      <c r="K1000" s="8">
        <v>43777</v>
      </c>
      <c r="L1000" s="8">
        <v>43833</v>
      </c>
      <c r="M1000">
        <v>1</v>
      </c>
      <c r="N1000" s="49" t="s">
        <v>67</v>
      </c>
      <c r="O1000">
        <v>2020</v>
      </c>
      <c r="P1000">
        <v>0.15029999999999999</v>
      </c>
      <c r="Q1000" s="10"/>
      <c r="R1000" s="11">
        <f>ROUND(Таб[[#This Row],[Зелений Тариф ЕЦ]]+Таб[[#This Row],[Зелений Тариф ЕЦ]]*Таб[[#This Row],[% надбавки]],4)</f>
        <v>0.15029999999999999</v>
      </c>
      <c r="S1000" s="12"/>
      <c r="T1000"/>
      <c r="BD10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391.43383614131722</v>
      </c>
      <c r="BE10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674.96508988590767</v>
      </c>
      <c r="BF10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1138.7166142292863</v>
      </c>
      <c r="BG10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1618.5387359509009</v>
      </c>
      <c r="BH10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1992.754074901251</v>
      </c>
      <c r="BI10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2066.2196629160439</v>
      </c>
      <c r="BJ10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2099.5087574852469</v>
      </c>
      <c r="BK10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1814.8296039279253</v>
      </c>
      <c r="BL10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1274.1687921315604</v>
      </c>
      <c r="BM10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818.45256647729957</v>
      </c>
      <c r="BN10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378.80693820127476</v>
      </c>
      <c r="BO10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320.26404775198682</v>
      </c>
      <c r="BP1000">
        <f>SUM(Таб[[#This Row],[1]:[12]])</f>
        <v>14588.658720000001</v>
      </c>
    </row>
    <row r="1001" spans="2:68" ht="51">
      <c r="B1001" t="s">
        <v>384</v>
      </c>
      <c r="C1001" t="str">
        <f>IFERROR(VLOOKUP(Таб[[#This Row],[Зелений Тариф ЕЦ]],Sheet6!$H$9:$I$29,2,FALSE),"")</f>
        <v>Земля</v>
      </c>
      <c r="D1001" t="s">
        <v>3366</v>
      </c>
      <c r="F1001" t="s">
        <v>3287</v>
      </c>
      <c r="G1001" s="1" t="s">
        <v>2407</v>
      </c>
      <c r="H1001" t="s">
        <v>82</v>
      </c>
      <c r="J1001" s="7">
        <v>32.835999999999999</v>
      </c>
      <c r="K1001" s="8">
        <v>43816</v>
      </c>
      <c r="L1001" s="8">
        <v>43833</v>
      </c>
      <c r="M1001">
        <v>1</v>
      </c>
      <c r="N1001" s="49" t="s">
        <v>67</v>
      </c>
      <c r="O1001">
        <v>2020</v>
      </c>
      <c r="P1001">
        <v>0.15029999999999999</v>
      </c>
      <c r="Q1001" s="10"/>
      <c r="R1001" s="11">
        <f>ROUND(Таб[[#This Row],[Зелений Тариф ЕЦ]]+Таб[[#This Row],[Зелений Тариф ЕЦ]]*Таб[[#This Row],[% надбавки]],4)</f>
        <v>0.15029999999999999</v>
      </c>
      <c r="S1001" s="12"/>
      <c r="T1001"/>
      <c r="BD10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1057.3479305311198</v>
      </c>
      <c r="BE10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1823.227516575655</v>
      </c>
      <c r="BF10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3075.9212524541663</v>
      </c>
      <c r="BG10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4372.0251672987642</v>
      </c>
      <c r="BH10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5382.8621917947912</v>
      </c>
      <c r="BI10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5581.3087242111887</v>
      </c>
      <c r="BJ10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5671.2298092123683</v>
      </c>
      <c r="BK10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4902.2494960988279</v>
      </c>
      <c r="BL10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3441.8070465968995</v>
      </c>
      <c r="BM10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2210.8184002014318</v>
      </c>
      <c r="BN10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1023.2399327720514</v>
      </c>
      <c r="BO10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865.10285225273435</v>
      </c>
      <c r="BP1001">
        <f>SUM(Таб[[#This Row],[1]:[12]])</f>
        <v>39407.140319999991</v>
      </c>
    </row>
    <row r="1002" spans="2:68" ht="51">
      <c r="B1002" t="s">
        <v>384</v>
      </c>
      <c r="C1002" t="str">
        <f>IFERROR(VLOOKUP(Таб[[#This Row],[Зелений Тариф ЕЦ]],Sheet6!$H$9:$I$29,2,FALSE),"")</f>
        <v>Земля</v>
      </c>
      <c r="D1002" t="s">
        <v>3366</v>
      </c>
      <c r="F1002" t="s">
        <v>3287</v>
      </c>
      <c r="G1002" s="1" t="s">
        <v>2409</v>
      </c>
      <c r="H1002" t="s">
        <v>82</v>
      </c>
      <c r="J1002" s="7">
        <v>24.716000000000001</v>
      </c>
      <c r="K1002" s="8">
        <v>43816</v>
      </c>
      <c r="L1002" s="8">
        <v>43833</v>
      </c>
      <c r="M1002">
        <v>1</v>
      </c>
      <c r="N1002" s="49" t="s">
        <v>67</v>
      </c>
      <c r="O1002">
        <v>2020</v>
      </c>
      <c r="P1002">
        <v>0.15029999999999999</v>
      </c>
      <c r="Q1002" s="10"/>
      <c r="R1002" s="11">
        <f>ROUND(Таб[[#This Row],[Зелений Тариф ЕЦ]]+Таб[[#This Row],[Зелений Тариф ЕЦ]]*Таб[[#This Row],[% надбавки]],4)</f>
        <v>0.15029999999999999</v>
      </c>
      <c r="S1002" s="12"/>
      <c r="T1002"/>
      <c r="BD10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795.87682577071394</v>
      </c>
      <c r="BE10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1372.3623857864507</v>
      </c>
      <c r="BF10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2315.2780386057129</v>
      </c>
      <c r="BG10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3290.8689863246518</v>
      </c>
      <c r="BH10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4051.7365675599967</v>
      </c>
      <c r="BI10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4201.109344244237</v>
      </c>
      <c r="BJ10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4268.7938836792819</v>
      </c>
      <c r="BK10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3689.974374027855</v>
      </c>
      <c r="BL10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2590.6840956172796</v>
      </c>
      <c r="BM10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1664.1060902478559</v>
      </c>
      <c r="BN10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770.20337977811016</v>
      </c>
      <c r="BO10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651.17194835785665</v>
      </c>
      <c r="BP1002">
        <f>SUM(Таб[[#This Row],[1]:[12]])</f>
        <v>29662.165919999999</v>
      </c>
    </row>
    <row r="1003" spans="2:68" ht="51">
      <c r="B1003" t="s">
        <v>384</v>
      </c>
      <c r="C1003" t="str">
        <f>IFERROR(VLOOKUP(Таб[[#This Row],[Зелений Тариф ЕЦ]],Sheet6!$H$9:$I$29,2,FALSE),"")</f>
        <v>Земля</v>
      </c>
      <c r="D1003" t="s">
        <v>3438</v>
      </c>
      <c r="F1003" t="s">
        <v>3416</v>
      </c>
      <c r="G1003" s="1" t="s">
        <v>2411</v>
      </c>
      <c r="H1003" t="s">
        <v>176</v>
      </c>
      <c r="J1003" s="7">
        <v>11.051</v>
      </c>
      <c r="K1003" s="8">
        <v>43816</v>
      </c>
      <c r="L1003" s="8">
        <v>43833</v>
      </c>
      <c r="M1003">
        <v>1</v>
      </c>
      <c r="N1003" s="49" t="s">
        <v>67</v>
      </c>
      <c r="O1003">
        <v>2020</v>
      </c>
      <c r="P1003">
        <v>0.15029999999999999</v>
      </c>
      <c r="Q1003" s="10"/>
      <c r="R1003" s="11">
        <f>ROUND(Таб[[#This Row],[Зелений Тариф ЕЦ]]+Таб[[#This Row],[Зелений Тариф ЕЦ]]*Таб[[#This Row],[% надбавки]],4)</f>
        <v>0.15029999999999999</v>
      </c>
      <c r="S1003" s="12"/>
      <c r="T1003"/>
      <c r="BD10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355.85186929892211</v>
      </c>
      <c r="BE10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613.60967492013538</v>
      </c>
      <c r="BF10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1035.2054379605004</v>
      </c>
      <c r="BG10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1471.4109551656309</v>
      </c>
      <c r="BH10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1811.6095164308758</v>
      </c>
      <c r="BI10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1878.3969640412306</v>
      </c>
      <c r="BJ10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1908.6600262396723</v>
      </c>
      <c r="BK10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1649.8586667495479</v>
      </c>
      <c r="BL10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1158.3447944920924</v>
      </c>
      <c r="BM10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744.05390853410972</v>
      </c>
      <c r="BN10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344.37277674089239</v>
      </c>
      <c r="BO10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291.15152942639077</v>
      </c>
      <c r="BP1003">
        <f>SUM(Таб[[#This Row],[1]:[12]])</f>
        <v>13262.526119999999</v>
      </c>
    </row>
    <row r="1004" spans="2:68" ht="38.25">
      <c r="B1004" t="s">
        <v>384</v>
      </c>
      <c r="C1004" t="str">
        <f>IFERROR(VLOOKUP(Таб[[#This Row],[Зелений Тариф ЕЦ]],Sheet6!$H$9:$I$29,2,FALSE),"")</f>
        <v>Земля</v>
      </c>
      <c r="D1004" t="s">
        <v>3362</v>
      </c>
      <c r="F1004" t="s">
        <v>3287</v>
      </c>
      <c r="G1004" s="1" t="s">
        <v>2413</v>
      </c>
      <c r="H1004" t="s">
        <v>73</v>
      </c>
      <c r="J1004" s="7">
        <v>5.907</v>
      </c>
      <c r="K1004" s="8">
        <v>43815</v>
      </c>
      <c r="L1004" s="8">
        <v>43833</v>
      </c>
      <c r="M1004">
        <v>1</v>
      </c>
      <c r="N1004" s="49" t="s">
        <v>67</v>
      </c>
      <c r="O1004">
        <v>2020</v>
      </c>
      <c r="P1004">
        <v>0.15029999999999999</v>
      </c>
      <c r="Q1004" s="10"/>
      <c r="R1004" s="11">
        <f>ROUND(Таб[[#This Row],[Зелений Тариф ЕЦ]]+Таб[[#This Row],[Зелений Тариф ЕЦ]]*Таб[[#This Row],[% надбавки]],4)</f>
        <v>0.15029999999999999</v>
      </c>
      <c r="S1004" s="12"/>
      <c r="T1004"/>
      <c r="BD10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190.21056845070427</v>
      </c>
      <c r="BE10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327.98772507042253</v>
      </c>
      <c r="BF10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553.33983549295772</v>
      </c>
      <c r="BG10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786.50117746478873</v>
      </c>
      <c r="BH10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968.34471211267612</v>
      </c>
      <c r="BI10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1004.0440563380283</v>
      </c>
      <c r="BJ10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1020.220321690141</v>
      </c>
      <c r="BK10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881.88536281690131</v>
      </c>
      <c r="BL10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619.16050140845084</v>
      </c>
      <c r="BM10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397.71300676056342</v>
      </c>
      <c r="BN10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184.07474366197187</v>
      </c>
      <c r="BO10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155.62682873239439</v>
      </c>
      <c r="BP1004">
        <f>SUM(Таб[[#This Row],[1]:[12]])</f>
        <v>7089.1088399999999</v>
      </c>
    </row>
    <row r="1005" spans="2:68" ht="38.25">
      <c r="B1005" t="s">
        <v>384</v>
      </c>
      <c r="C1005" t="str">
        <f>IFERROR(VLOOKUP(Таб[[#This Row],[Зелений Тариф ЕЦ]],Sheet6!$H$9:$I$29,2,FALSE),"")</f>
        <v>Земля</v>
      </c>
      <c r="G1005" s="1" t="s">
        <v>2415</v>
      </c>
      <c r="H1005" t="s">
        <v>176</v>
      </c>
      <c r="J1005" s="7">
        <v>4.0750000000000002</v>
      </c>
      <c r="K1005" s="8">
        <v>43805</v>
      </c>
      <c r="L1005" s="8">
        <v>43833</v>
      </c>
      <c r="M1005">
        <v>1</v>
      </c>
      <c r="N1005" s="49" t="s">
        <v>67</v>
      </c>
      <c r="O1005">
        <v>2020</v>
      </c>
      <c r="P1005">
        <v>0.15029999999999999</v>
      </c>
      <c r="Q1005" s="10"/>
      <c r="R1005" s="11">
        <f>ROUND(Таб[[#This Row],[Зелений Тариф ЕЦ]]+Таб[[#This Row],[Зелений Тариф ЕЦ]]*Таб[[#This Row],[% надбавки]],4)</f>
        <v>0.15029999999999999</v>
      </c>
      <c r="S1005" s="12"/>
      <c r="T1005"/>
      <c r="BD10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131.21856550476045</v>
      </c>
      <c r="BE10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226.26544433078925</v>
      </c>
      <c r="BF10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381.72673601384849</v>
      </c>
      <c r="BG10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542.57530018097418</v>
      </c>
      <c r="BH10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668.02178802423487</v>
      </c>
      <c r="BI10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692.64931937996698</v>
      </c>
      <c r="BJ10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703.80866952553311</v>
      </c>
      <c r="BK10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608.37698552207098</v>
      </c>
      <c r="BL10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427.13374695097968</v>
      </c>
      <c r="BM10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274.36609150995355</v>
      </c>
      <c r="BN10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126.98570855299397</v>
      </c>
      <c r="BO10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107.36064450389489</v>
      </c>
      <c r="BP1005">
        <f>SUM(Таб[[#This Row],[1]:[12]])</f>
        <v>4890.4890000000005</v>
      </c>
    </row>
    <row r="1006" spans="2:68" ht="38.25">
      <c r="B1006" t="s">
        <v>384</v>
      </c>
      <c r="C1006" t="str">
        <f>IFERROR(VLOOKUP(Таб[[#This Row],[Зелений Тариф ЕЦ]],Sheet6!$H$9:$I$29,2,FALSE),"")</f>
        <v>Земля</v>
      </c>
      <c r="G1006" s="1" t="s">
        <v>2417</v>
      </c>
      <c r="H1006" t="s">
        <v>122</v>
      </c>
      <c r="J1006" s="7">
        <v>6.54</v>
      </c>
      <c r="K1006" s="8">
        <v>43808</v>
      </c>
      <c r="L1006" s="8">
        <v>43833</v>
      </c>
      <c r="M1006">
        <v>1</v>
      </c>
      <c r="N1006" s="49" t="s">
        <v>67</v>
      </c>
      <c r="O1006">
        <v>2020</v>
      </c>
      <c r="P1006">
        <v>0.15029999999999999</v>
      </c>
      <c r="Q1006" s="10"/>
      <c r="R1006" s="11">
        <f>ROUND(Таб[[#This Row],[Зелений Тариф ЕЦ]]+Таб[[#This Row],[Зелений Тариф ЕЦ]]*Таб[[#This Row],[% надбавки]],4)</f>
        <v>0.15029999999999999</v>
      </c>
      <c r="S1006" s="12"/>
      <c r="T1006"/>
      <c r="BD10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210.59372230702655</v>
      </c>
      <c r="BE10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363.13521617751201</v>
      </c>
      <c r="BF10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612.6362830749863</v>
      </c>
      <c r="BG10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870.78342654811547</v>
      </c>
      <c r="BH10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1072.1134953812259</v>
      </c>
      <c r="BI10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1111.6384168699349</v>
      </c>
      <c r="BJ10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1129.5481469195058</v>
      </c>
      <c r="BK10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976.38907615075937</v>
      </c>
      <c r="BL10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685.51035706979314</v>
      </c>
      <c r="BM10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440.3323284601463</v>
      </c>
      <c r="BN10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203.80037642615474</v>
      </c>
      <c r="BO10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172.30395461483988</v>
      </c>
      <c r="BP1006">
        <f>SUM(Таб[[#This Row],[1]:[12]])</f>
        <v>7848.7848000000004</v>
      </c>
    </row>
    <row r="1007" spans="2:68" ht="38.25">
      <c r="B1007" t="s">
        <v>384</v>
      </c>
      <c r="C1007" t="str">
        <f>IFERROR(VLOOKUP(Таб[[#This Row],[Зелений Тариф ЕЦ]],Sheet6!$H$9:$I$29,2,FALSE),"")</f>
        <v>Земля</v>
      </c>
      <c r="G1007" s="1" t="s">
        <v>2419</v>
      </c>
      <c r="H1007" t="s">
        <v>233</v>
      </c>
      <c r="J1007" s="7">
        <v>4.657</v>
      </c>
      <c r="K1007" s="8">
        <v>43817</v>
      </c>
      <c r="L1007" s="8">
        <v>43833</v>
      </c>
      <c r="M1007">
        <v>1</v>
      </c>
      <c r="N1007" s="49" t="s">
        <v>67</v>
      </c>
      <c r="O1007">
        <v>2020</v>
      </c>
      <c r="P1007">
        <v>0.15029999999999999</v>
      </c>
      <c r="Q1007" s="10"/>
      <c r="R1007" s="11">
        <f>ROUND(Таб[[#This Row],[Зелений Тариф ЕЦ]]+Таб[[#This Row],[Зелений Тариф ЕЦ]]*Таб[[#This Row],[% надбавки]],4)</f>
        <v>0.15029999999999999</v>
      </c>
      <c r="S1007" s="12"/>
      <c r="T1007"/>
      <c r="BD10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149.95947473758756</v>
      </c>
      <c r="BE10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258.58114705484303</v>
      </c>
      <c r="BF10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436.24574469116379</v>
      </c>
      <c r="BG10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620.06703630498077</v>
      </c>
      <c r="BH10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763.43005320953648</v>
      </c>
      <c r="BI10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791.57493996380515</v>
      </c>
      <c r="BJ10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804.32809177433319</v>
      </c>
      <c r="BK10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695.2666556015422</v>
      </c>
      <c r="BL10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488.13787964434664</v>
      </c>
      <c r="BM10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313.5516289967739</v>
      </c>
      <c r="BN10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145.12207232669763</v>
      </c>
      <c r="BO10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122.69411569438982</v>
      </c>
      <c r="BP1007">
        <f>SUM(Таб[[#This Row],[1]:[12]])</f>
        <v>5588.9588400000002</v>
      </c>
    </row>
    <row r="1008" spans="2:68" ht="51">
      <c r="B1008" t="s">
        <v>384</v>
      </c>
      <c r="C1008" t="str">
        <f>IFERROR(VLOOKUP(Таб[[#This Row],[Зелений Тариф ЕЦ]],Sheet6!$H$9:$I$29,2,FALSE),"")</f>
        <v>Дах</v>
      </c>
      <c r="G1008" s="1" t="s">
        <v>2421</v>
      </c>
      <c r="H1008" t="s">
        <v>141</v>
      </c>
      <c r="J1008" s="7">
        <v>1.167</v>
      </c>
      <c r="K1008" s="8">
        <v>43815</v>
      </c>
      <c r="L1008" s="8">
        <v>43833</v>
      </c>
      <c r="M1008">
        <v>1</v>
      </c>
      <c r="N1008" s="49" t="s">
        <v>67</v>
      </c>
      <c r="O1008">
        <v>2020</v>
      </c>
      <c r="P1008">
        <v>0.16370000000000001</v>
      </c>
      <c r="Q1008" s="10"/>
      <c r="R1008" s="11">
        <f>ROUND(Таб[[#This Row],[Зелений Тариф ЕЦ]]+Таб[[#This Row],[Зелений Тариф ЕЦ]]*Таб[[#This Row],[% надбавки]],4)</f>
        <v>0.16370000000000001</v>
      </c>
      <c r="S1008" s="12"/>
      <c r="T1008"/>
      <c r="BD10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37.578421090565747</v>
      </c>
      <c r="BE10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64.797981235345034</v>
      </c>
      <c r="BF10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109.3190431725549</v>
      </c>
      <c r="BG10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155.38291418679677</v>
      </c>
      <c r="BH10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191.30832555197105</v>
      </c>
      <c r="BI10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198.36116704697463</v>
      </c>
      <c r="BJ10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201.5569858493981</v>
      </c>
      <c r="BK10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174.22722505625936</v>
      </c>
      <c r="BL10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122.32271967896769</v>
      </c>
      <c r="BM10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78.573062280273817</v>
      </c>
      <c r="BN10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36.366213958612015</v>
      </c>
      <c r="BO10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30.745980892281061</v>
      </c>
      <c r="BP1008">
        <f>SUM(Таб[[#This Row],[1]:[12]])</f>
        <v>1400.5400400000001</v>
      </c>
    </row>
    <row r="1009" spans="2:68" ht="38.25">
      <c r="B1009" t="s">
        <v>384</v>
      </c>
      <c r="C1009" t="str">
        <f>IFERROR(VLOOKUP(Таб[[#This Row],[Зелений Тариф ЕЦ]],Sheet6!$H$9:$I$29,2,FALSE),"")</f>
        <v>Земля</v>
      </c>
      <c r="D1009" t="s">
        <v>3381</v>
      </c>
      <c r="E1009" t="s">
        <v>3381</v>
      </c>
      <c r="F1009" t="s">
        <v>3382</v>
      </c>
      <c r="G1009" s="1" t="s">
        <v>1800</v>
      </c>
      <c r="H1009" t="s">
        <v>176</v>
      </c>
      <c r="J1009" s="7">
        <v>17.97</v>
      </c>
      <c r="K1009" s="8">
        <v>43794</v>
      </c>
      <c r="L1009" s="8">
        <v>43833</v>
      </c>
      <c r="M1009">
        <v>1</v>
      </c>
      <c r="N1009" s="49" t="s">
        <v>67</v>
      </c>
      <c r="O1009">
        <v>2020</v>
      </c>
      <c r="P1009">
        <v>0.15029999999999999</v>
      </c>
      <c r="Q1009" s="10"/>
      <c r="R1009" s="11">
        <f>ROUND(Таб[[#This Row],[Зелений Тариф ЕЦ]]+Таб[[#This Row],[Зелений Тариф ЕЦ]]*Таб[[#This Row],[% надбавки]],4)</f>
        <v>0.15029999999999999</v>
      </c>
      <c r="S1009" s="12"/>
      <c r="T1009"/>
      <c r="BD10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578.64972321976552</v>
      </c>
      <c r="BE10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997.78896555197093</v>
      </c>
      <c r="BF10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1683.3446493665906</v>
      </c>
      <c r="BG10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2392.6572133134</v>
      </c>
      <c r="BH10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2945.8531363915336</v>
      </c>
      <c r="BI10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3054.4560169958295</v>
      </c>
      <c r="BJ10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3103.6666972696516</v>
      </c>
      <c r="BK10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2682.8305349280035</v>
      </c>
      <c r="BL10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1883.5812104807617</v>
      </c>
      <c r="BM10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1209.9039667322368</v>
      </c>
      <c r="BN10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559.98360311590216</v>
      </c>
      <c r="BO10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473.44068263435361</v>
      </c>
      <c r="BP1009">
        <f>SUM(Таб[[#This Row],[1]:[12]])</f>
        <v>21566.156400000003</v>
      </c>
    </row>
    <row r="1010" spans="2:68" ht="38.25">
      <c r="B1010" t="s">
        <v>384</v>
      </c>
      <c r="C1010" t="str">
        <f>IFERROR(VLOOKUP(Таб[[#This Row],[Зелений Тариф ЕЦ]],Sheet6!$H$9:$I$29,2,FALSE),"")</f>
        <v>Дах</v>
      </c>
      <c r="G1010" s="1" t="s">
        <v>1724</v>
      </c>
      <c r="H1010" t="s">
        <v>98</v>
      </c>
      <c r="J1010" s="7">
        <v>0.629</v>
      </c>
      <c r="K1010" s="8">
        <v>43798</v>
      </c>
      <c r="L1010" s="8">
        <v>43833</v>
      </c>
      <c r="M1010">
        <v>1</v>
      </c>
      <c r="N1010" s="49" t="s">
        <v>67</v>
      </c>
      <c r="O1010">
        <v>2020</v>
      </c>
      <c r="P1010">
        <v>0.16370000000000001</v>
      </c>
      <c r="Q1010" s="10"/>
      <c r="R1010" s="11">
        <f>ROUND(Таб[[#This Row],[Зелений Тариф ЕЦ]]+Таб[[#This Row],[Зелений Тариф ЕЦ]]*Таб[[#This Row],[% надбавки]],4)</f>
        <v>0.16370000000000001</v>
      </c>
      <c r="S1010" s="12"/>
      <c r="T1010"/>
      <c r="BD10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20.25435035644032</v>
      </c>
      <c r="BE10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34.925390057439614</v>
      </c>
      <c r="BF10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58.921746491462748</v>
      </c>
      <c r="BG10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83.749659831615389</v>
      </c>
      <c r="BH10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103.1130563600598</v>
      </c>
      <c r="BI10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106.914459359509</v>
      </c>
      <c r="BJ10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108.63697009363443</v>
      </c>
      <c r="BK10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93.90653347076875</v>
      </c>
      <c r="BL10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65.93058327169723</v>
      </c>
      <c r="BM10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42.350005290738849</v>
      </c>
      <c r="BN10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19.600984215909989</v>
      </c>
      <c r="BO10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16.571741200723899</v>
      </c>
      <c r="BP1010">
        <f>SUM(Таб[[#This Row],[1]:[12]])</f>
        <v>754.87548000000004</v>
      </c>
    </row>
    <row r="1011" spans="2:68" ht="51">
      <c r="B1011" t="s">
        <v>384</v>
      </c>
      <c r="C1011" t="str">
        <f>IFERROR(VLOOKUP(Таб[[#This Row],[Зелений Тариф ЕЦ]],Sheet6!$H$9:$I$29,2,FALSE),"")</f>
        <v>Дах</v>
      </c>
      <c r="G1011" s="1" t="s">
        <v>2074</v>
      </c>
      <c r="H1011" t="s">
        <v>73</v>
      </c>
      <c r="J1011" s="7">
        <v>0.20499999999999999</v>
      </c>
      <c r="K1011" s="8">
        <v>43777</v>
      </c>
      <c r="L1011" s="8">
        <v>43833</v>
      </c>
      <c r="M1011">
        <v>1</v>
      </c>
      <c r="N1011" s="49" t="s">
        <v>67</v>
      </c>
      <c r="O1011">
        <v>2020</v>
      </c>
      <c r="P1011">
        <v>0.16370000000000001</v>
      </c>
      <c r="Q1011" s="10"/>
      <c r="R1011" s="11">
        <f>ROUND(Таб[[#This Row],[Зелений Тариф ЕЦ]]+Таб[[#This Row],[Зелений Тариф ЕЦ]]*Таб[[#This Row],[% надбавки]],4)</f>
        <v>0.16370000000000001</v>
      </c>
      <c r="S1011" s="12"/>
      <c r="T1011"/>
      <c r="BD10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6.6011793689511382</v>
      </c>
      <c r="BE10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11.382678794555041</v>
      </c>
      <c r="BF10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19.203430891494214</v>
      </c>
      <c r="BG10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27.295199150208514</v>
      </c>
      <c r="BH10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33.60600406011487</v>
      </c>
      <c r="BI10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34.844935085372569</v>
      </c>
      <c r="BJ10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35.406325706192462</v>
      </c>
      <c r="BK10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30.605467983318906</v>
      </c>
      <c r="BL10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21.487709969313084</v>
      </c>
      <c r="BM10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13.802465953261468</v>
      </c>
      <c r="BN10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6.3882380989849725</v>
      </c>
      <c r="BO10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5.4009649382327485</v>
      </c>
      <c r="BP1011">
        <f>SUM(Таб[[#This Row],[1]:[12]])</f>
        <v>246.02459999999999</v>
      </c>
    </row>
    <row r="1012" spans="2:68" ht="51">
      <c r="B1012" t="s">
        <v>384</v>
      </c>
      <c r="C1012" t="str">
        <f>IFERROR(VLOOKUP(Таб[[#This Row],[Зелений Тариф ЕЦ]],Sheet6!$H$9:$I$29,2,FALSE),"")</f>
        <v>Земля</v>
      </c>
      <c r="G1012" s="1" t="s">
        <v>2426</v>
      </c>
      <c r="H1012" t="s">
        <v>198</v>
      </c>
      <c r="J1012" s="7">
        <v>0.82799999999999996</v>
      </c>
      <c r="K1012" s="8">
        <v>43791</v>
      </c>
      <c r="L1012" s="8">
        <v>43833</v>
      </c>
      <c r="M1012">
        <v>1</v>
      </c>
      <c r="N1012" s="49" t="s">
        <v>67</v>
      </c>
      <c r="O1012">
        <v>2020</v>
      </c>
      <c r="P1012">
        <v>0.15029999999999999</v>
      </c>
      <c r="Q1012" s="10"/>
      <c r="R1012" s="11">
        <f>ROUND(Таб[[#This Row],[Зелений Тариф ЕЦ]]+Таб[[#This Row],[Зелений Тариф ЕЦ]]*Таб[[#This Row],[% надбавки]],4)</f>
        <v>0.15029999999999999</v>
      </c>
      <c r="S1012" s="12"/>
      <c r="T1012"/>
      <c r="BD10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26.662324475568496</v>
      </c>
      <c r="BE10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45.974917277519864</v>
      </c>
      <c r="BF10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77.563125747108344</v>
      </c>
      <c r="BG10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110.24597510425681</v>
      </c>
      <c r="BH10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135.73547005743961</v>
      </c>
      <c r="BI10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140.73954268628532</v>
      </c>
      <c r="BJ10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143.00701309623102</v>
      </c>
      <c r="BK10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123.61623165945393</v>
      </c>
      <c r="BL10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86.789384656542609</v>
      </c>
      <c r="BM10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55.74849663073411</v>
      </c>
      <c r="BN10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25.802249492485643</v>
      </c>
      <c r="BO10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21.814629116374224</v>
      </c>
      <c r="BP1012">
        <f>SUM(Таб[[#This Row],[1]:[12]])</f>
        <v>993.69936000000007</v>
      </c>
    </row>
    <row r="1013" spans="2:68" ht="38.25">
      <c r="B1013" t="s">
        <v>384</v>
      </c>
      <c r="C1013" t="str">
        <f>IFERROR(VLOOKUP(Таб[[#This Row],[Зелений Тариф ЕЦ]],Sheet6!$H$9:$I$29,2,FALSE),"")</f>
        <v>Земля</v>
      </c>
      <c r="F1013" t="s">
        <v>3416</v>
      </c>
      <c r="G1013" s="1" t="s">
        <v>2428</v>
      </c>
      <c r="H1013" t="s">
        <v>82</v>
      </c>
      <c r="J1013" s="7">
        <v>17.855</v>
      </c>
      <c r="K1013" s="8">
        <v>43816</v>
      </c>
      <c r="L1013" s="8">
        <v>43844</v>
      </c>
      <c r="M1013">
        <v>1</v>
      </c>
      <c r="N1013" s="49" t="s">
        <v>67</v>
      </c>
      <c r="O1013">
        <v>2020</v>
      </c>
      <c r="P1013">
        <v>0.15029999999999999</v>
      </c>
      <c r="Q1013" s="10"/>
      <c r="R1013" s="11">
        <f>ROUND(Таб[[#This Row],[Зелений Тариф ЕЦ]]+Таб[[#This Row],[Зелений Тариф ЕЦ]]*Таб[[#This Row],[% надбавки]],4)</f>
        <v>0.15029999999999999</v>
      </c>
      <c r="S1013" s="12"/>
      <c r="T1013"/>
      <c r="BD10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574.94662259815891</v>
      </c>
      <c r="BE10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991.40356037453785</v>
      </c>
      <c r="BF10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1672.5719930128257</v>
      </c>
      <c r="BG10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2377.3452723266973</v>
      </c>
      <c r="BH10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2927.0009877724451</v>
      </c>
      <c r="BI10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3034.9088582894015</v>
      </c>
      <c r="BJ10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3083.8046121173975</v>
      </c>
      <c r="BK10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2665.6616138641912</v>
      </c>
      <c r="BL10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1871.5271292784646</v>
      </c>
      <c r="BM10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1202.1611199779684</v>
      </c>
      <c r="BN10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556.39995735305706</v>
      </c>
      <c r="BO10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470.41087303485722</v>
      </c>
      <c r="BP1013">
        <f>SUM(Таб[[#This Row],[1]:[12]])</f>
        <v>21428.142599999999</v>
      </c>
    </row>
    <row r="1014" spans="2:68" ht="38.25">
      <c r="B1014" t="s">
        <v>384</v>
      </c>
      <c r="C1014" t="str">
        <f>IFERROR(VLOOKUP(Таб[[#This Row],[Зелений Тариф ЕЦ]],Sheet6!$H$9:$I$29,2,FALSE),"")</f>
        <v>Земля</v>
      </c>
      <c r="G1014" s="1" t="s">
        <v>2430</v>
      </c>
      <c r="H1014" t="s">
        <v>233</v>
      </c>
      <c r="J1014" s="7">
        <v>0.97299999999999998</v>
      </c>
      <c r="K1014" s="8">
        <v>43796</v>
      </c>
      <c r="L1014" s="8">
        <v>43844</v>
      </c>
      <c r="M1014">
        <v>1</v>
      </c>
      <c r="N1014" s="49" t="s">
        <v>67</v>
      </c>
      <c r="O1014">
        <v>2020</v>
      </c>
      <c r="P1014">
        <v>0.15029999999999999</v>
      </c>
      <c r="Q1014" s="10"/>
      <c r="R1014" s="11">
        <f>ROUND(Таб[[#This Row],[Зелений Тариф ЕЦ]]+Таб[[#This Row],[Зелений Тариф ЕЦ]]*Таб[[#This Row],[% надбавки]],4)</f>
        <v>0.15029999999999999</v>
      </c>
      <c r="S1014" s="12"/>
      <c r="T1014"/>
      <c r="BD10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31.331451346290034</v>
      </c>
      <c r="BE10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54.026080327327094</v>
      </c>
      <c r="BF10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91.146040280116438</v>
      </c>
      <c r="BG10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129.55233547879453</v>
      </c>
      <c r="BH10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159.50557049020378</v>
      </c>
      <c r="BI10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165.38596018569518</v>
      </c>
      <c r="BJ10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168.05051176646469</v>
      </c>
      <c r="BK10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145.2640016964356</v>
      </c>
      <c r="BL10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101.98800878117869</v>
      </c>
      <c r="BM10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65.511216451333695</v>
      </c>
      <c r="BN10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30.320759367377455</v>
      </c>
      <c r="BO10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25.634823828782753</v>
      </c>
      <c r="BP1014">
        <f>SUM(Таб[[#This Row],[1]:[12]])</f>
        <v>1167.71676</v>
      </c>
    </row>
    <row r="1015" spans="2:68" ht="38.25">
      <c r="B1015" t="s">
        <v>384</v>
      </c>
      <c r="C1015" t="str">
        <f>IFERROR(VLOOKUP(Таб[[#This Row],[Зелений Тариф ЕЦ]],Sheet6!$H$9:$I$29,2,FALSE),"")</f>
        <v>Земля</v>
      </c>
      <c r="G1015" s="1" t="s">
        <v>2432</v>
      </c>
      <c r="H1015" t="s">
        <v>233</v>
      </c>
      <c r="J1015" s="7">
        <v>0.97299999999999998</v>
      </c>
      <c r="K1015" s="8">
        <v>43797</v>
      </c>
      <c r="L1015" s="8">
        <v>43844</v>
      </c>
      <c r="M1015">
        <v>1</v>
      </c>
      <c r="N1015" s="49" t="s">
        <v>67</v>
      </c>
      <c r="O1015">
        <v>2020</v>
      </c>
      <c r="P1015">
        <v>0.15029999999999999</v>
      </c>
      <c r="Q1015" s="10"/>
      <c r="R1015" s="11">
        <f>ROUND(Таб[[#This Row],[Зелений Тариф ЕЦ]]+Таб[[#This Row],[Зелений Тариф ЕЦ]]*Таб[[#This Row],[% надбавки]],4)</f>
        <v>0.15029999999999999</v>
      </c>
      <c r="S1015" s="12"/>
      <c r="T1015"/>
      <c r="BD10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31.331451346290034</v>
      </c>
      <c r="BE10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54.026080327327094</v>
      </c>
      <c r="BF10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91.146040280116438</v>
      </c>
      <c r="BG10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129.55233547879453</v>
      </c>
      <c r="BH10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159.50557049020378</v>
      </c>
      <c r="BI10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165.38596018569518</v>
      </c>
      <c r="BJ10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168.05051176646469</v>
      </c>
      <c r="BK10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145.2640016964356</v>
      </c>
      <c r="BL10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101.98800878117869</v>
      </c>
      <c r="BM10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65.511216451333695</v>
      </c>
      <c r="BN10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30.320759367377455</v>
      </c>
      <c r="BO10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25.634823828782753</v>
      </c>
      <c r="BP1015">
        <f>SUM(Таб[[#This Row],[1]:[12]])</f>
        <v>1167.71676</v>
      </c>
    </row>
    <row r="1016" spans="2:68" ht="38.25">
      <c r="B1016" t="s">
        <v>384</v>
      </c>
      <c r="C1016" t="str">
        <f>IFERROR(VLOOKUP(Таб[[#This Row],[Зелений Тариф ЕЦ]],Sheet6!$H$9:$I$29,2,FALSE),"")</f>
        <v>Земля</v>
      </c>
      <c r="G1016" s="1" t="s">
        <v>2434</v>
      </c>
      <c r="H1016" t="s">
        <v>107</v>
      </c>
      <c r="J1016" s="7">
        <v>1.8660000000000001</v>
      </c>
      <c r="K1016" s="8">
        <v>43811</v>
      </c>
      <c r="L1016" s="8">
        <v>43844</v>
      </c>
      <c r="M1016">
        <v>1</v>
      </c>
      <c r="N1016" s="49" t="s">
        <v>67</v>
      </c>
      <c r="O1016">
        <v>2020</v>
      </c>
      <c r="P1016">
        <v>0.15029999999999999</v>
      </c>
      <c r="Q1016" s="10"/>
      <c r="R1016" s="11">
        <f>ROUND(Таб[[#This Row],[Зелений Тариф ЕЦ]]+Таб[[#This Row],[Зелений Тариф ЕЦ]]*Таб[[#This Row],[% надбавки]],4)</f>
        <v>0.15029999999999999</v>
      </c>
      <c r="S1016" s="12"/>
      <c r="T1016"/>
      <c r="BD10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60.086832694940604</v>
      </c>
      <c r="BE10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103.61013966165712</v>
      </c>
      <c r="BF10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174.79805874891809</v>
      </c>
      <c r="BG10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248.45288592336141</v>
      </c>
      <c r="BH10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305.89660281060668</v>
      </c>
      <c r="BI10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317.17389692344011</v>
      </c>
      <c r="BJ10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322.28392081831777</v>
      </c>
      <c r="BK10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278.58440613108826</v>
      </c>
      <c r="BL10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195.59056976945476</v>
      </c>
      <c r="BM10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125.63610472578486</v>
      </c>
      <c r="BN10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58.148547769297352</v>
      </c>
      <c r="BO10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49.161954023133219</v>
      </c>
      <c r="BP1016">
        <f>SUM(Таб[[#This Row],[1]:[12]])</f>
        <v>2239.4239199999997</v>
      </c>
    </row>
    <row r="1017" spans="2:68" ht="38.25">
      <c r="B1017" t="s">
        <v>384</v>
      </c>
      <c r="C1017" t="str">
        <f>IFERROR(VLOOKUP(Таб[[#This Row],[Зелений Тариф ЕЦ]],Sheet6!$H$9:$I$29,2,FALSE),"")</f>
        <v>Земля</v>
      </c>
      <c r="G1017" s="1" t="s">
        <v>2436</v>
      </c>
      <c r="H1017" t="s">
        <v>82</v>
      </c>
      <c r="J1017" s="7">
        <v>1.1299999999999999</v>
      </c>
      <c r="K1017" s="8">
        <v>43816</v>
      </c>
      <c r="L1017" s="8">
        <v>43844</v>
      </c>
      <c r="M1017">
        <v>1</v>
      </c>
      <c r="N1017" s="49" t="s">
        <v>67</v>
      </c>
      <c r="O1017">
        <v>2020</v>
      </c>
      <c r="P1017">
        <v>0.15029999999999999</v>
      </c>
      <c r="Q1017" s="10"/>
      <c r="R1017" s="11">
        <f>ROUND(Таб[[#This Row],[Зелений Тариф ЕЦ]]+Таб[[#This Row],[Зелений Тариф ЕЦ]]*Таб[[#This Row],[% надбавки]],4)</f>
        <v>0.15029999999999999</v>
      </c>
      <c r="S1017" s="12"/>
      <c r="T1017"/>
      <c r="BD10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36.386988716657484</v>
      </c>
      <c r="BE10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62.743546526083875</v>
      </c>
      <c r="BF10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105.85305808482175</v>
      </c>
      <c r="BG10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150.45646360846644</v>
      </c>
      <c r="BH10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185.24285164843809</v>
      </c>
      <c r="BI10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192.07208120229754</v>
      </c>
      <c r="BJ10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195.16657584389017</v>
      </c>
      <c r="BK10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168.7033113226847</v>
      </c>
      <c r="BL10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118.44445007475018</v>
      </c>
      <c r="BM10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76.081885498465653</v>
      </c>
      <c r="BN10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35.213214887087894</v>
      </c>
      <c r="BO10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29.771172586356123</v>
      </c>
      <c r="BP1017">
        <f>SUM(Таб[[#This Row],[1]:[12]])</f>
        <v>1356.1356000000001</v>
      </c>
    </row>
    <row r="1018" spans="2:68" ht="63.75">
      <c r="B1018" t="s">
        <v>384</v>
      </c>
      <c r="C1018" t="str">
        <f>IFERROR(VLOOKUP(Таб[[#This Row],[Зелений Тариф ЕЦ]],Sheet6!$H$9:$I$29,2,FALSE),"")</f>
        <v>Земля</v>
      </c>
      <c r="G1018" s="1" t="s">
        <v>2438</v>
      </c>
      <c r="H1018" t="s">
        <v>122</v>
      </c>
      <c r="J1018" s="7">
        <v>0.497</v>
      </c>
      <c r="K1018" s="8">
        <v>43810</v>
      </c>
      <c r="L1018" s="8">
        <v>43844</v>
      </c>
      <c r="M1018">
        <v>1</v>
      </c>
      <c r="N1018" s="49" t="s">
        <v>67</v>
      </c>
      <c r="O1018">
        <v>2020</v>
      </c>
      <c r="P1018">
        <v>0.15029999999999999</v>
      </c>
      <c r="Q1018" s="10"/>
      <c r="R1018" s="11">
        <f>ROUND(Таб[[#This Row],[Зелений Тариф ЕЦ]]+Таб[[#This Row],[Зелений Тариф ЕЦ]]*Таб[[#This Row],[% надбавки]],4)</f>
        <v>0.15029999999999999</v>
      </c>
      <c r="S1018" s="12"/>
      <c r="T1018"/>
      <c r="BD10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16.003834860335196</v>
      </c>
      <c r="BE10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27.596055418994411</v>
      </c>
      <c r="BF10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46.556610502793298</v>
      </c>
      <c r="BG10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66.174214525139661</v>
      </c>
      <c r="BH10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81.47406837988828</v>
      </c>
      <c r="BI10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84.477720670391065</v>
      </c>
      <c r="BJ10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85.838750614525139</v>
      </c>
      <c r="BK10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74.199597988826824</v>
      </c>
      <c r="BL10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52.094594413407819</v>
      </c>
      <c r="BM10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33.462563798882677</v>
      </c>
      <c r="BN10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15.48758212290503</v>
      </c>
      <c r="BO10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13.094046703910616</v>
      </c>
      <c r="BP1018">
        <f>SUM(Таб[[#This Row],[1]:[12]])</f>
        <v>596.45964000000004</v>
      </c>
    </row>
    <row r="1019" spans="2:68" ht="38.25">
      <c r="B1019" t="s">
        <v>384</v>
      </c>
      <c r="C1019" t="str">
        <f>IFERROR(VLOOKUP(Таб[[#This Row],[Зелений Тариф ЕЦ]],Sheet6!$H$9:$I$29,2,FALSE),"")</f>
        <v>Земля</v>
      </c>
      <c r="G1019" s="1" t="s">
        <v>2440</v>
      </c>
      <c r="H1019" t="s">
        <v>172</v>
      </c>
      <c r="J1019" s="7">
        <v>2.6859999999999999</v>
      </c>
      <c r="K1019" s="8">
        <v>43780</v>
      </c>
      <c r="L1019" s="8">
        <v>43844</v>
      </c>
      <c r="M1019">
        <v>1</v>
      </c>
      <c r="N1019" s="49" t="s">
        <v>67</v>
      </c>
      <c r="O1019">
        <v>2020</v>
      </c>
      <c r="P1019">
        <v>0.15029999999999999</v>
      </c>
      <c r="Q1019" s="10"/>
      <c r="R1019" s="11">
        <f>ROUND(Таб[[#This Row],[Зелений Тариф ЕЦ]]+Таб[[#This Row],[Зелений Тариф ЕЦ]]*Таб[[#This Row],[% надбавки]],4)</f>
        <v>0.15029999999999999</v>
      </c>
      <c r="S1019" s="12"/>
      <c r="T1019"/>
      <c r="BD10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86.491550170745157</v>
      </c>
      <c r="BE10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149.14085483987725</v>
      </c>
      <c r="BF10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251.61178231489492</v>
      </c>
      <c r="BG10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357.63368252419548</v>
      </c>
      <c r="BH10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440.32061905106622</v>
      </c>
      <c r="BI10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456.55363726493039</v>
      </c>
      <c r="BJ10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463.90922364308756</v>
      </c>
      <c r="BK10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401.00627806436381</v>
      </c>
      <c r="BL10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281.54140964670705</v>
      </c>
      <c r="BM10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180.84596853883073</v>
      </c>
      <c r="BN10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83.701500165237249</v>
      </c>
      <c r="BO10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70.765813776064221</v>
      </c>
      <c r="BP1019">
        <f>SUM(Таб[[#This Row],[1]:[12]])</f>
        <v>3223.5223199999996</v>
      </c>
    </row>
    <row r="1020" spans="2:68" ht="51">
      <c r="B1020" t="s">
        <v>384</v>
      </c>
      <c r="C1020" t="str">
        <f>IFERROR(VLOOKUP(Таб[[#This Row],[Зелений Тариф ЕЦ]],Sheet6!$H$9:$I$29,2,FALSE),"")</f>
        <v>Земля</v>
      </c>
      <c r="G1020" s="1" t="s">
        <v>2442</v>
      </c>
      <c r="H1020" t="s">
        <v>62</v>
      </c>
      <c r="J1020" s="7">
        <v>5.94</v>
      </c>
      <c r="K1020" s="8">
        <v>43818</v>
      </c>
      <c r="L1020" s="8">
        <v>43844</v>
      </c>
      <c r="M1020">
        <v>1</v>
      </c>
      <c r="N1020" s="49" t="s">
        <v>67</v>
      </c>
      <c r="O1020">
        <v>2020</v>
      </c>
      <c r="P1020">
        <v>0.15029999999999999</v>
      </c>
      <c r="Q1020" s="10"/>
      <c r="R1020" s="11">
        <f>ROUND(Таб[[#This Row],[Зелений Тариф ЕЦ]]+Таб[[#This Row],[Зелений Тариф ЕЦ]]*Таб[[#This Row],[% надбавки]],4)</f>
        <v>0.15029999999999999</v>
      </c>
      <c r="S1020" s="12"/>
      <c r="T1020"/>
      <c r="BD10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191.27319732473055</v>
      </c>
      <c r="BE10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329.82005873003385</v>
      </c>
      <c r="BF10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556.43111949012507</v>
      </c>
      <c r="BG10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790.89503879140784</v>
      </c>
      <c r="BH10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973.75445910771896</v>
      </c>
      <c r="BI10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1009.6532410103077</v>
      </c>
      <c r="BJ10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1025.9198765599183</v>
      </c>
      <c r="BK10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886.81209668738711</v>
      </c>
      <c r="BL10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622.61949862302322</v>
      </c>
      <c r="BM10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399.9348671335274</v>
      </c>
      <c r="BN10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185.10309418522311</v>
      </c>
      <c r="BO10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156.49625235659769</v>
      </c>
      <c r="BP1020">
        <f>SUM(Таб[[#This Row],[1]:[12]])</f>
        <v>7128.7128000000002</v>
      </c>
    </row>
    <row r="1021" spans="2:68" ht="38.25">
      <c r="B1021" t="s">
        <v>384</v>
      </c>
      <c r="C1021" t="str">
        <f>IFERROR(VLOOKUP(Таб[[#This Row],[Зелений Тариф ЕЦ]],Sheet6!$H$9:$I$29,2,FALSE),"")</f>
        <v>Земля</v>
      </c>
      <c r="G1021" s="1" t="s">
        <v>2444</v>
      </c>
      <c r="H1021" t="s">
        <v>101</v>
      </c>
      <c r="J1021" s="7">
        <v>5.4</v>
      </c>
      <c r="K1021" s="8">
        <v>43809</v>
      </c>
      <c r="L1021" s="8">
        <v>43844</v>
      </c>
      <c r="M1021">
        <v>1</v>
      </c>
      <c r="N1021" s="49" t="s">
        <v>67</v>
      </c>
      <c r="O1021">
        <v>2020</v>
      </c>
      <c r="P1021">
        <v>0.15029999999999999</v>
      </c>
      <c r="Q1021" s="10"/>
      <c r="R1021" s="11">
        <f>ROUND(Таб[[#This Row],[Зелений Тариф ЕЦ]]+Таб[[#This Row],[Зелений Тариф ЕЦ]]*Таб[[#This Row],[% надбавки]],4)</f>
        <v>0.15029999999999999</v>
      </c>
      <c r="S1021" s="12"/>
      <c r="T1021"/>
      <c r="BD10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173.88472484066412</v>
      </c>
      <c r="BE10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299.83641702730347</v>
      </c>
      <c r="BF10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505.84647226375012</v>
      </c>
      <c r="BG10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718.9954898103706</v>
      </c>
      <c r="BH10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885.23132646156273</v>
      </c>
      <c r="BI10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917.86658273664352</v>
      </c>
      <c r="BJ10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932.65443323628938</v>
      </c>
      <c r="BK10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806.19281517035165</v>
      </c>
      <c r="BL10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566.01772602093013</v>
      </c>
      <c r="BM10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363.5771519395704</v>
      </c>
      <c r="BN10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168.27554016838465</v>
      </c>
      <c r="BO10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142.26932032417972</v>
      </c>
      <c r="BP1021">
        <f>SUM(Таб[[#This Row],[1]:[12]])</f>
        <v>6480.6480000000001</v>
      </c>
    </row>
    <row r="1022" spans="2:68" ht="38.25">
      <c r="B1022" t="s">
        <v>384</v>
      </c>
      <c r="C1022" t="str">
        <f>IFERROR(VLOOKUP(Таб[[#This Row],[Зелений Тариф ЕЦ]],Sheet6!$H$9:$I$29,2,FALSE),"")</f>
        <v>Земля</v>
      </c>
      <c r="G1022" s="1" t="s">
        <v>2446</v>
      </c>
      <c r="H1022" t="s">
        <v>198</v>
      </c>
      <c r="J1022" s="7">
        <v>1.0009999999999999</v>
      </c>
      <c r="K1022" s="8">
        <v>43810</v>
      </c>
      <c r="L1022" s="8">
        <v>43844</v>
      </c>
      <c r="M1022">
        <v>1</v>
      </c>
      <c r="N1022" s="49" t="s">
        <v>67</v>
      </c>
      <c r="O1022">
        <v>2020</v>
      </c>
      <c r="P1022">
        <v>0.15029999999999999</v>
      </c>
      <c r="Q1022" s="10"/>
      <c r="R1022" s="11">
        <f>ROUND(Таб[[#This Row],[Зелений Тариф ЕЦ]]+Таб[[#This Row],[Зелений Тариф ЕЦ]]*Таб[[#This Row],[% надбавки]],4)</f>
        <v>0.15029999999999999</v>
      </c>
      <c r="S1022" s="12"/>
      <c r="T1022"/>
      <c r="BD10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32.233075845463844</v>
      </c>
      <c r="BE10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55.580787674876063</v>
      </c>
      <c r="BF10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93.768947914076634</v>
      </c>
      <c r="BG10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133.28046024077423</v>
      </c>
      <c r="BH10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164.09565884963411</v>
      </c>
      <c r="BI10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170.14526839247776</v>
      </c>
      <c r="BJ10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172.88649771657879</v>
      </c>
      <c r="BK10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149.44426073805965</v>
      </c>
      <c r="BL10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104.92291550869464</v>
      </c>
      <c r="BM10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67.396431313242573</v>
      </c>
      <c r="BN10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31.193299205287587</v>
      </c>
      <c r="BO10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26.372516600834054</v>
      </c>
      <c r="BP1022">
        <f>SUM(Таб[[#This Row],[1]:[12]])</f>
        <v>1201.3201200000001</v>
      </c>
    </row>
    <row r="1023" spans="2:68" ht="38.25">
      <c r="B1023" t="s">
        <v>384</v>
      </c>
      <c r="C1023" t="str">
        <f>IFERROR(VLOOKUP(Таб[[#This Row],[Зелений Тариф ЕЦ]],Sheet6!$H$9:$I$29,2,FALSE),"")</f>
        <v>Земля</v>
      </c>
      <c r="G1023" s="1" t="s">
        <v>2448</v>
      </c>
      <c r="H1023" t="s">
        <v>233</v>
      </c>
      <c r="J1023" s="7">
        <v>5.5439999999999996</v>
      </c>
      <c r="K1023" s="8">
        <v>43810</v>
      </c>
      <c r="L1023" s="8">
        <v>43844</v>
      </c>
      <c r="M1023">
        <v>1</v>
      </c>
      <c r="N1023" s="49" t="s">
        <v>67</v>
      </c>
      <c r="O1023">
        <v>2020</v>
      </c>
      <c r="P1023">
        <v>0.15029999999999999</v>
      </c>
      <c r="Q1023" s="10"/>
      <c r="R1023" s="11">
        <f>ROUND(Таб[[#This Row],[Зелений Тариф ЕЦ]]+Таб[[#This Row],[Зелений Тариф ЕЦ]]*Таб[[#This Row],[% надбавки]],4)</f>
        <v>0.15029999999999999</v>
      </c>
      <c r="S1023" s="12"/>
      <c r="T1023"/>
      <c r="BD10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178.52165083641512</v>
      </c>
      <c r="BE10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307.83205481469821</v>
      </c>
      <c r="BF10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519.33571152411673</v>
      </c>
      <c r="BG10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738.16870287198037</v>
      </c>
      <c r="BH10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908.83749516720422</v>
      </c>
      <c r="BI10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942.34302494295378</v>
      </c>
      <c r="BJ10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957.5252181225901</v>
      </c>
      <c r="BK10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827.69129024156109</v>
      </c>
      <c r="BL10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581.11153204815491</v>
      </c>
      <c r="BM10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373.27254265795887</v>
      </c>
      <c r="BN10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172.76288790620822</v>
      </c>
      <c r="BO10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146.06316886615784</v>
      </c>
      <c r="BP1023">
        <f>SUM(Таб[[#This Row],[1]:[12]])</f>
        <v>6653.4652799999994</v>
      </c>
    </row>
    <row r="1024" spans="2:68" ht="25.5">
      <c r="B1024" t="s">
        <v>384</v>
      </c>
      <c r="C1024" t="str">
        <f>IFERROR(VLOOKUP(Таб[[#This Row],[Зелений Тариф ЕЦ]],Sheet6!$H$9:$I$29,2,FALSE),"")</f>
        <v>Дах</v>
      </c>
      <c r="G1024" s="1" t="s">
        <v>2450</v>
      </c>
      <c r="H1024" t="s">
        <v>69</v>
      </c>
      <c r="J1024" s="7">
        <v>0.19800000000000001</v>
      </c>
      <c r="K1024" s="8">
        <v>43724</v>
      </c>
      <c r="L1024" s="8">
        <v>43844</v>
      </c>
      <c r="M1024">
        <v>1</v>
      </c>
      <c r="N1024" s="49" t="s">
        <v>67</v>
      </c>
      <c r="O1024">
        <v>2020</v>
      </c>
      <c r="P1024">
        <v>0.16370000000000001</v>
      </c>
      <c r="Q1024" s="10"/>
      <c r="R1024" s="11">
        <f>ROUND(Таб[[#This Row],[Зелений Тариф ЕЦ]]+Таб[[#This Row],[Зелений Тариф ЕЦ]]*Таб[[#This Row],[% надбавки]],4)</f>
        <v>0.16370000000000001</v>
      </c>
      <c r="S1024" s="12"/>
      <c r="T1024"/>
      <c r="BD10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6.3757732441576849</v>
      </c>
      <c r="BE10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10.994001957667797</v>
      </c>
      <c r="BF10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18.547703983004169</v>
      </c>
      <c r="BG10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26.363167959713586</v>
      </c>
      <c r="BH10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32.458481970257296</v>
      </c>
      <c r="BI10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33.655108033676925</v>
      </c>
      <c r="BJ10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34.197329218663938</v>
      </c>
      <c r="BK10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29.5604032229129</v>
      </c>
      <c r="BL10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20.753983287434103</v>
      </c>
      <c r="BM10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13.331162237784248</v>
      </c>
      <c r="BN10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6.1701031395074377</v>
      </c>
      <c r="BO10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5.2165417452199234</v>
      </c>
      <c r="BP1024">
        <f>SUM(Таб[[#This Row],[1]:[12]])</f>
        <v>237.62376</v>
      </c>
    </row>
    <row r="1025" spans="2:68" ht="38.25">
      <c r="B1025" t="s">
        <v>384</v>
      </c>
      <c r="C1025" t="str">
        <f>IFERROR(VLOOKUP(Таб[[#This Row],[Зелений Тариф ЕЦ]],Sheet6!$H$9:$I$29,2,FALSE),"")</f>
        <v>Дах</v>
      </c>
      <c r="G1025" s="1" t="s">
        <v>2452</v>
      </c>
      <c r="H1025" t="s">
        <v>107</v>
      </c>
      <c r="J1025" s="7">
        <v>0.15</v>
      </c>
      <c r="K1025" s="8">
        <v>43822</v>
      </c>
      <c r="L1025" s="8">
        <v>43844</v>
      </c>
      <c r="M1025">
        <v>1</v>
      </c>
      <c r="N1025" s="49" t="s">
        <v>67</v>
      </c>
      <c r="O1025">
        <v>2020</v>
      </c>
      <c r="P1025">
        <v>0.16370000000000001</v>
      </c>
      <c r="Q1025" s="10"/>
      <c r="R1025" s="11">
        <f>ROUND(Таб[[#This Row],[Зелений Тариф ЕЦ]]+Таб[[#This Row],[Зелений Тариф ЕЦ]]*Таб[[#This Row],[% надбавки]],4)</f>
        <v>0.16370000000000001</v>
      </c>
      <c r="S1025" s="12"/>
      <c r="T1025"/>
      <c r="BD10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4.8301312455740035</v>
      </c>
      <c r="BE10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8.328789361869541</v>
      </c>
      <c r="BF10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14.051290896215281</v>
      </c>
      <c r="BG10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19.972096939176961</v>
      </c>
      <c r="BH10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24.589759068376736</v>
      </c>
      <c r="BI10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25.496293964906759</v>
      </c>
      <c r="BJ10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25.907067589896926</v>
      </c>
      <c r="BK10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22.394244865843106</v>
      </c>
      <c r="BL10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15.722714611692503</v>
      </c>
      <c r="BM10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10.099365331654733</v>
      </c>
      <c r="BN10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4.6743205602329061</v>
      </c>
      <c r="BO10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3.9519255645605478</v>
      </c>
      <c r="BP1025">
        <f>SUM(Таб[[#This Row],[1]:[12]])</f>
        <v>180.018</v>
      </c>
    </row>
    <row r="1026" spans="2:68" ht="38.25">
      <c r="B1026" t="s">
        <v>384</v>
      </c>
      <c r="C1026" t="str">
        <f>IFERROR(VLOOKUP(Таб[[#This Row],[Зелений Тариф ЕЦ]],Sheet6!$H$9:$I$29,2,FALSE),"")</f>
        <v>Дах</v>
      </c>
      <c r="G1026" s="1" t="s">
        <v>2454</v>
      </c>
      <c r="H1026" t="s">
        <v>107</v>
      </c>
      <c r="J1026" s="7">
        <v>0.30399999999999999</v>
      </c>
      <c r="K1026" s="8">
        <v>43822</v>
      </c>
      <c r="L1026" s="8">
        <v>43844</v>
      </c>
      <c r="M1026">
        <v>1</v>
      </c>
      <c r="N1026" s="49" t="s">
        <v>67</v>
      </c>
      <c r="O1026">
        <v>2020</v>
      </c>
      <c r="P1026">
        <v>0.16370000000000001</v>
      </c>
      <c r="Q1026" s="10"/>
      <c r="R1026" s="11">
        <f>ROUND(Таб[[#This Row],[Зелений Тариф ЕЦ]]+Таб[[#This Row],[Зелений Тариф ЕЦ]]*Таб[[#This Row],[% надбавки]],4)</f>
        <v>0.16370000000000001</v>
      </c>
      <c r="S1026" s="12"/>
      <c r="T1026"/>
      <c r="BD10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9.7890659910299789</v>
      </c>
      <c r="BE10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16.879679773388936</v>
      </c>
      <c r="BF10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28.477282882996299</v>
      </c>
      <c r="BG10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40.476783130065307</v>
      </c>
      <c r="BH10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49.835245045243525</v>
      </c>
      <c r="BI10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51.672489102211031</v>
      </c>
      <c r="BJ10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52.504990315524424</v>
      </c>
      <c r="BK10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45.385669594775358</v>
      </c>
      <c r="BL10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31.864701613030142</v>
      </c>
      <c r="BM10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20.468047072153588</v>
      </c>
      <c r="BN10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9.4732896687386905</v>
      </c>
      <c r="BO10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8.0092358108427106</v>
      </c>
      <c r="BP1026">
        <f>SUM(Таб[[#This Row],[1]:[12]])</f>
        <v>364.83647999999999</v>
      </c>
    </row>
    <row r="1027" spans="2:68" ht="38.25">
      <c r="B1027" t="s">
        <v>384</v>
      </c>
      <c r="C1027" t="str">
        <f>IFERROR(VLOOKUP(Таб[[#This Row],[Зелений Тариф ЕЦ]],Sheet6!$H$9:$I$29,2,FALSE),"")</f>
        <v>Дах</v>
      </c>
      <c r="G1027" s="1" t="s">
        <v>2456</v>
      </c>
      <c r="H1027" t="s">
        <v>136</v>
      </c>
      <c r="J1027" s="7">
        <v>1.1599999999999999</v>
      </c>
      <c r="K1027" s="8">
        <v>43805</v>
      </c>
      <c r="L1027" s="8">
        <v>43844</v>
      </c>
      <c r="M1027">
        <v>1</v>
      </c>
      <c r="N1027" s="49" t="s">
        <v>67</v>
      </c>
      <c r="O1027">
        <v>2020</v>
      </c>
      <c r="P1027">
        <v>0.16370000000000001</v>
      </c>
      <c r="Q1027" s="10"/>
      <c r="R1027" s="11">
        <f>ROUND(Таб[[#This Row],[Зелений Тариф ЕЦ]]+Таб[[#This Row],[Зелений Тариф ЕЦ]]*Таб[[#This Row],[% надбавки]],4)</f>
        <v>0.16370000000000001</v>
      </c>
      <c r="S1027" s="12"/>
      <c r="T1027"/>
      <c r="BD10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37.353014965772289</v>
      </c>
      <c r="BE10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64.409304398457778</v>
      </c>
      <c r="BF10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108.66331626406483</v>
      </c>
      <c r="BG10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154.45088299630183</v>
      </c>
      <c r="BH10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190.16080346211348</v>
      </c>
      <c r="BI10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197.17133999527891</v>
      </c>
      <c r="BJ10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200.34798936186957</v>
      </c>
      <c r="BK10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173.18216029585332</v>
      </c>
      <c r="BL10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121.58899299708867</v>
      </c>
      <c r="BM10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78.101758564796597</v>
      </c>
      <c r="BN10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36.148078999134476</v>
      </c>
      <c r="BO10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30.561557699268235</v>
      </c>
      <c r="BP1027">
        <f>SUM(Таб[[#This Row],[1]:[12]])</f>
        <v>1392.1392000000001</v>
      </c>
    </row>
    <row r="1028" spans="2:68" ht="63.75">
      <c r="B1028" t="s">
        <v>384</v>
      </c>
      <c r="C1028" t="str">
        <f>IFERROR(VLOOKUP(Таб[[#This Row],[Зелений Тариф ЕЦ]],Sheet6!$H$9:$I$29,2,FALSE),"")</f>
        <v>Дах</v>
      </c>
      <c r="G1028" s="1" t="s">
        <v>2458</v>
      </c>
      <c r="H1028" t="s">
        <v>82</v>
      </c>
      <c r="J1028" s="7">
        <v>0.379</v>
      </c>
      <c r="K1028" s="8">
        <v>43783</v>
      </c>
      <c r="L1028" s="8">
        <v>43844</v>
      </c>
      <c r="M1028">
        <v>1</v>
      </c>
      <c r="N1028" s="49" t="s">
        <v>67</v>
      </c>
      <c r="O1028">
        <v>2020</v>
      </c>
      <c r="P1028">
        <v>0.16370000000000001</v>
      </c>
      <c r="Q1028" s="10"/>
      <c r="R1028" s="11">
        <f>ROUND(Таб[[#This Row],[Зелений Тариф ЕЦ]]+Таб[[#This Row],[Зелений Тариф ЕЦ]]*Таб[[#This Row],[% надбавки]],4)</f>
        <v>0.16370000000000001</v>
      </c>
      <c r="S1028" s="12"/>
      <c r="T1028"/>
      <c r="BD10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12.204131613816983</v>
      </c>
      <c r="BE10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21.044074454323709</v>
      </c>
      <c r="BF10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35.502928331103938</v>
      </c>
      <c r="BG10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50.462831599653796</v>
      </c>
      <c r="BH10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62.130124579431893</v>
      </c>
      <c r="BI10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64.420636084664409</v>
      </c>
      <c r="BJ10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65.458524110472894</v>
      </c>
      <c r="BK10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56.582792027696911</v>
      </c>
      <c r="BL10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39.72605891887639</v>
      </c>
      <c r="BM10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25.517729737980957</v>
      </c>
      <c r="BN10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11.810449948855144</v>
      </c>
      <c r="BO10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9.9851985931229841</v>
      </c>
      <c r="BP1028">
        <f>SUM(Таб[[#This Row],[1]:[12]])</f>
        <v>454.84547999999995</v>
      </c>
    </row>
    <row r="1029" spans="2:68" ht="63.75">
      <c r="B1029" t="s">
        <v>384</v>
      </c>
      <c r="C1029" t="str">
        <f>IFERROR(VLOOKUP(Таб[[#This Row],[Зелений Тариф ЕЦ]],Sheet6!$H$9:$I$29,2,FALSE),"")</f>
        <v>Дах</v>
      </c>
      <c r="G1029" s="1" t="s">
        <v>2460</v>
      </c>
      <c r="H1029" t="s">
        <v>69</v>
      </c>
      <c r="J1029" s="7">
        <v>0.183</v>
      </c>
      <c r="K1029" s="8">
        <v>43803</v>
      </c>
      <c r="L1029" s="8">
        <v>43844</v>
      </c>
      <c r="M1029">
        <v>1</v>
      </c>
      <c r="N1029" s="49" t="s">
        <v>67</v>
      </c>
      <c r="O1029">
        <v>2020</v>
      </c>
      <c r="P1029">
        <v>0.16370000000000001</v>
      </c>
      <c r="Q1029" s="10"/>
      <c r="R1029" s="11">
        <f>ROUND(Таб[[#This Row],[Зелений Тариф ЕЦ]]+Таб[[#This Row],[Зелений Тариф ЕЦ]]*Таб[[#This Row],[% надбавки]],4)</f>
        <v>0.16370000000000001</v>
      </c>
      <c r="S1029" s="12"/>
      <c r="T1029"/>
      <c r="BD10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5.8927601196002843</v>
      </c>
      <c r="BE10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10.16112302148084</v>
      </c>
      <c r="BF10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17.142574893382641</v>
      </c>
      <c r="BG10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24.365958265795889</v>
      </c>
      <c r="BH10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29.999506063419627</v>
      </c>
      <c r="BI10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31.105478637186252</v>
      </c>
      <c r="BJ10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31.606622459674249</v>
      </c>
      <c r="BK10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27.320978736328588</v>
      </c>
      <c r="BL10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19.181711826264852</v>
      </c>
      <c r="BM10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12.321225704618772</v>
      </c>
      <c r="BN10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5.7026710834841463</v>
      </c>
      <c r="BO10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4.8213491887638682</v>
      </c>
      <c r="BP1029">
        <f>SUM(Таб[[#This Row],[1]:[12]])</f>
        <v>219.62196</v>
      </c>
    </row>
    <row r="1030" spans="2:68" ht="38.25">
      <c r="B1030" t="s">
        <v>384</v>
      </c>
      <c r="C1030" t="str">
        <f>IFERROR(VLOOKUP(Таб[[#This Row],[Зелений Тариф ЕЦ]],Sheet6!$H$9:$I$29,2,FALSE),"")</f>
        <v>Дах</v>
      </c>
      <c r="G1030" s="1" t="s">
        <v>2462</v>
      </c>
      <c r="H1030" t="s">
        <v>98</v>
      </c>
      <c r="J1030" s="7">
        <v>0.27200000000000002</v>
      </c>
      <c r="K1030" s="8">
        <v>43810</v>
      </c>
      <c r="L1030" s="8">
        <v>43844</v>
      </c>
      <c r="M1030">
        <v>1</v>
      </c>
      <c r="N1030" s="49" t="s">
        <v>67</v>
      </c>
      <c r="O1030">
        <v>2020</v>
      </c>
      <c r="P1030">
        <v>0.16370000000000001</v>
      </c>
      <c r="Q1030" s="10"/>
      <c r="R1030" s="11">
        <f>ROUND(Таб[[#This Row],[Зелений Тариф ЕЦ]]+Таб[[#This Row],[Зелений Тариф ЕЦ]]*Таб[[#This Row],[% надбавки]],4)</f>
        <v>0.16370000000000001</v>
      </c>
      <c r="S1030" s="12"/>
      <c r="T1030"/>
      <c r="BD10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8.7586379919741937</v>
      </c>
      <c r="BE10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15.102871376190102</v>
      </c>
      <c r="BF10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25.479674158470374</v>
      </c>
      <c r="BG10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36.216069116374229</v>
      </c>
      <c r="BH10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44.589429777323161</v>
      </c>
      <c r="BI10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46.233279723030932</v>
      </c>
      <c r="BJ10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46.978149229679765</v>
      </c>
      <c r="BK10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40.608230690062165</v>
      </c>
      <c r="BL10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28.510522495869075</v>
      </c>
      <c r="BM10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18.313515801400584</v>
      </c>
      <c r="BN10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8.4761012825556712</v>
      </c>
      <c r="BO10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7.1661583570697935</v>
      </c>
      <c r="BP1030">
        <f>SUM(Таб[[#This Row],[1]:[12]])</f>
        <v>326.43263999999999</v>
      </c>
    </row>
    <row r="1031" spans="2:68" ht="38.25">
      <c r="B1031" t="s">
        <v>384</v>
      </c>
      <c r="C1031" t="str">
        <f>IFERROR(VLOOKUP(Таб[[#This Row],[Зелений Тариф ЕЦ]],Sheet6!$H$9:$I$29,2,FALSE),"")</f>
        <v>Дах</v>
      </c>
      <c r="G1031" s="1" t="s">
        <v>2464</v>
      </c>
      <c r="H1031" t="s">
        <v>122</v>
      </c>
      <c r="J1031" s="7">
        <v>0.35099999999999998</v>
      </c>
      <c r="K1031" s="8">
        <v>43810</v>
      </c>
      <c r="L1031" s="8">
        <v>43844</v>
      </c>
      <c r="M1031">
        <v>1</v>
      </c>
      <c r="N1031" s="49" t="s">
        <v>67</v>
      </c>
      <c r="O1031">
        <v>2020</v>
      </c>
      <c r="P1031">
        <v>0.16370000000000001</v>
      </c>
      <c r="Q1031" s="10"/>
      <c r="R1031" s="11">
        <f>ROUND(Таб[[#This Row],[Зелений Тариф ЕЦ]]+Таб[[#This Row],[Зелений Тариф ЕЦ]]*Таб[[#This Row],[% надбавки]],4)</f>
        <v>0.16370000000000001</v>
      </c>
      <c r="S1031" s="12"/>
      <c r="T1031"/>
      <c r="BD10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11.302507114643166</v>
      </c>
      <c r="BE10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19.489367106774726</v>
      </c>
      <c r="BF10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32.880020697143756</v>
      </c>
      <c r="BG10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46.734706837674089</v>
      </c>
      <c r="BH10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57.540036220001582</v>
      </c>
      <c r="BI10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59.661327877881817</v>
      </c>
      <c r="BJ10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60.6225381603588</v>
      </c>
      <c r="BK10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52.402532986072856</v>
      </c>
      <c r="BL10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36.791152191360453</v>
      </c>
      <c r="BM10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23.632514876072072</v>
      </c>
      <c r="BN10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10.937910110945001</v>
      </c>
      <c r="BO10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9.2475058210716821</v>
      </c>
      <c r="BP1031">
        <f>SUM(Таб[[#This Row],[1]:[12]])</f>
        <v>421.24211999999994</v>
      </c>
    </row>
    <row r="1032" spans="2:68" ht="38.25">
      <c r="B1032" t="s">
        <v>384</v>
      </c>
      <c r="C1032" t="str">
        <f>IFERROR(VLOOKUP(Таб[[#This Row],[Зелений Тариф ЕЦ]],Sheet6!$H$9:$I$29,2,FALSE),"")</f>
        <v>Дах</v>
      </c>
      <c r="G1032" s="1" t="s">
        <v>2464</v>
      </c>
      <c r="H1032" t="s">
        <v>122</v>
      </c>
      <c r="J1032" s="7">
        <v>1.1020000000000001</v>
      </c>
      <c r="K1032" s="8">
        <v>43808</v>
      </c>
      <c r="L1032" s="8">
        <v>43844</v>
      </c>
      <c r="M1032">
        <v>1</v>
      </c>
      <c r="N1032" s="49" t="s">
        <v>67</v>
      </c>
      <c r="O1032">
        <v>2020</v>
      </c>
      <c r="P1032">
        <v>0.16370000000000001</v>
      </c>
      <c r="Q1032" s="10"/>
      <c r="R1032" s="11">
        <f>ROUND(Таб[[#This Row],[Зелений Тариф ЕЦ]]+Таб[[#This Row],[Зелений Тариф ЕЦ]]*Таб[[#This Row],[% надбавки]],4)</f>
        <v>0.16370000000000001</v>
      </c>
      <c r="S1032" s="12"/>
      <c r="T1032"/>
      <c r="BD10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35.485364217483678</v>
      </c>
      <c r="BE10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61.188839178534899</v>
      </c>
      <c r="BF10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103.2301504508616</v>
      </c>
      <c r="BG10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146.72833884648674</v>
      </c>
      <c r="BH10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180.65276328900779</v>
      </c>
      <c r="BI10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187.31277299551502</v>
      </c>
      <c r="BJ10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190.33058989377608</v>
      </c>
      <c r="BK10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164.52305228106067</v>
      </c>
      <c r="BL10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115.50954334723428</v>
      </c>
      <c r="BM10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74.196670636556775</v>
      </c>
      <c r="BN10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34.340675049177754</v>
      </c>
      <c r="BO10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29.033479814304822</v>
      </c>
      <c r="BP1032">
        <f>SUM(Таб[[#This Row],[1]:[12]])</f>
        <v>1322.53224</v>
      </c>
    </row>
    <row r="1033" spans="2:68" ht="38.25">
      <c r="B1033" t="s">
        <v>384</v>
      </c>
      <c r="C1033" t="str">
        <f>IFERROR(VLOOKUP(Таб[[#This Row],[Зелений Тариф ЕЦ]],Sheet6!$H$9:$I$29,2,FALSE),"")</f>
        <v>Дах</v>
      </c>
      <c r="G1033" s="1" t="s">
        <v>2467</v>
      </c>
      <c r="H1033" t="s">
        <v>198</v>
      </c>
      <c r="J1033" s="7">
        <v>0.72099999999999997</v>
      </c>
      <c r="K1033" s="8">
        <v>43818</v>
      </c>
      <c r="L1033" s="8">
        <v>43844</v>
      </c>
      <c r="M1033">
        <v>1</v>
      </c>
      <c r="N1033" s="49" t="s">
        <v>67</v>
      </c>
      <c r="O1033">
        <v>2020</v>
      </c>
      <c r="P1033">
        <v>0.16370000000000001</v>
      </c>
      <c r="Q1033" s="10"/>
      <c r="R1033" s="11">
        <f>ROUND(Таб[[#This Row],[Зелений Тариф ЕЦ]]+Таб[[#This Row],[Зелений Тариф ЕЦ]]*Таб[[#This Row],[% надбавки]],4)</f>
        <v>0.16370000000000001</v>
      </c>
      <c r="S1033" s="12"/>
      <c r="T1033"/>
      <c r="BD10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23.21683085372571</v>
      </c>
      <c r="BE10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40.033714199386267</v>
      </c>
      <c r="BF10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67.539871574474788</v>
      </c>
      <c r="BG10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95.999212620977261</v>
      </c>
      <c r="BH10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118.19477525533088</v>
      </c>
      <c r="BI10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122.55218632465181</v>
      </c>
      <c r="BJ10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124.52663821543786</v>
      </c>
      <c r="BK10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107.64167032181919</v>
      </c>
      <c r="BL10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75.573848233535287</v>
      </c>
      <c r="BM10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48.54428269415375</v>
      </c>
      <c r="BN10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22.46790082618617</v>
      </c>
      <c r="BO10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18.995588880321034</v>
      </c>
      <c r="BP1033">
        <f>SUM(Таб[[#This Row],[1]:[12]])</f>
        <v>865.28652000000011</v>
      </c>
    </row>
    <row r="1034" spans="2:68" ht="51">
      <c r="B1034" t="s">
        <v>384</v>
      </c>
      <c r="C1034" t="str">
        <f>IFERROR(VLOOKUP(Таб[[#This Row],[Зелений Тариф ЕЦ]],Sheet6!$H$9:$I$29,2,FALSE),"")</f>
        <v>Дах</v>
      </c>
      <c r="G1034" s="1" t="s">
        <v>2469</v>
      </c>
      <c r="H1034" t="s">
        <v>65</v>
      </c>
      <c r="J1034" s="7">
        <v>0.22900000000000001</v>
      </c>
      <c r="K1034" s="8">
        <v>43815</v>
      </c>
      <c r="L1034" s="8">
        <v>43844</v>
      </c>
      <c r="M1034">
        <v>1</v>
      </c>
      <c r="N1034" s="49" t="s">
        <v>67</v>
      </c>
      <c r="O1034">
        <v>2020</v>
      </c>
      <c r="P1034">
        <v>0.16370000000000001</v>
      </c>
      <c r="Q1034" s="10"/>
      <c r="R1034" s="11">
        <f>ROUND(Таб[[#This Row],[Зелений Тариф ЕЦ]]+Таб[[#This Row],[Зелений Тариф ЕЦ]]*Таб[[#This Row],[% надбавки]],4)</f>
        <v>0.16370000000000001</v>
      </c>
      <c r="S1034" s="12"/>
      <c r="T1034"/>
      <c r="BD10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7.374000368242978</v>
      </c>
      <c r="BE10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12.715285092454167</v>
      </c>
      <c r="BF10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21.45163743488866</v>
      </c>
      <c r="BG10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30.490734660476829</v>
      </c>
      <c r="BH10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37.540365511055164</v>
      </c>
      <c r="BI10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38.924342119757654</v>
      </c>
      <c r="BJ10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39.551456520575975</v>
      </c>
      <c r="BK10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34.188547161853805</v>
      </c>
      <c r="BL10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24.003344307183887</v>
      </c>
      <c r="BM10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15.418364406326226</v>
      </c>
      <c r="BN10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7.136129388622237</v>
      </c>
      <c r="BO10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6.0332730285624363</v>
      </c>
      <c r="BP1034">
        <f>SUM(Таб[[#This Row],[1]:[12]])</f>
        <v>274.82748000000004</v>
      </c>
    </row>
    <row r="1035" spans="2:68" ht="63.75">
      <c r="B1035" t="s">
        <v>384</v>
      </c>
      <c r="C1035" t="str">
        <f>IFERROR(VLOOKUP(Таб[[#This Row],[Зелений Тариф ЕЦ]],Sheet6!$H$9:$I$29,2,FALSE),"")</f>
        <v>Земля</v>
      </c>
      <c r="D1035" t="s">
        <v>3408</v>
      </c>
      <c r="F1035" s="135" t="s">
        <v>3287</v>
      </c>
      <c r="G1035" s="1" t="s">
        <v>2471</v>
      </c>
      <c r="H1035" t="s">
        <v>122</v>
      </c>
      <c r="J1035" s="7">
        <v>11.744</v>
      </c>
      <c r="K1035" s="8">
        <v>43816</v>
      </c>
      <c r="L1035" s="8">
        <v>43844</v>
      </c>
      <c r="M1035">
        <v>1</v>
      </c>
      <c r="N1035" s="49" t="s">
        <v>67</v>
      </c>
      <c r="O1035">
        <v>2020</v>
      </c>
      <c r="P1035">
        <v>0.15029999999999999</v>
      </c>
      <c r="Q1035" s="10"/>
      <c r="R1035" s="11">
        <f>ROUND(Таб[[#This Row],[Зелений Тариф ЕЦ]]+Таб[[#This Row],[Зелений Тариф ЕЦ]]*Таб[[#This Row],[% надбавки]],4)</f>
        <v>0.15029999999999999</v>
      </c>
      <c r="S1035" s="12"/>
      <c r="T1035"/>
      <c r="BD10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378.16707565347394</v>
      </c>
      <c r="BE10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652.08868177197257</v>
      </c>
      <c r="BF10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1100.1224019010151</v>
      </c>
      <c r="BG10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1563.6820430246285</v>
      </c>
      <c r="BH10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1925.2142033267762</v>
      </c>
      <c r="BI10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1996.1898421591</v>
      </c>
      <c r="BJ10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2028.3506785049967</v>
      </c>
      <c r="BK10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1753.3200780297429</v>
      </c>
      <c r="BL10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1230.9837359981116</v>
      </c>
      <c r="BM10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790.7129763663545</v>
      </c>
      <c r="BN10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365.96813772916835</v>
      </c>
      <c r="BO10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309.40942553466044</v>
      </c>
      <c r="BP1035">
        <f>SUM(Таб[[#This Row],[1]:[12]])</f>
        <v>14094.209280000001</v>
      </c>
    </row>
    <row r="1036" spans="2:68" ht="63.75">
      <c r="B1036" t="s">
        <v>384</v>
      </c>
      <c r="C1036" t="str">
        <f>IFERROR(VLOOKUP(Таб[[#This Row],[Зелений Тариф ЕЦ]],Sheet6!$H$9:$I$29,2,FALSE),"")</f>
        <v>Земля</v>
      </c>
      <c r="G1036" s="1" t="s">
        <v>2473</v>
      </c>
      <c r="H1036" t="s">
        <v>233</v>
      </c>
      <c r="J1036" s="7">
        <v>3.4529999999999998</v>
      </c>
      <c r="K1036" s="8">
        <v>43801</v>
      </c>
      <c r="L1036" s="8">
        <v>43844</v>
      </c>
      <c r="M1036">
        <v>1</v>
      </c>
      <c r="N1036" s="49" t="s">
        <v>67</v>
      </c>
      <c r="O1036">
        <v>2020</v>
      </c>
      <c r="P1036">
        <v>0.15029999999999999</v>
      </c>
      <c r="Q1036" s="10"/>
      <c r="R1036" s="11">
        <f>ROUND(Таб[[#This Row],[Зелений Тариф ЕЦ]]+Таб[[#This Row],[Зелений Тариф ЕЦ]]*Таб[[#This Row],[% надбавки]],4)</f>
        <v>0.15029999999999999</v>
      </c>
      <c r="S1036" s="12"/>
      <c r="T1036"/>
      <c r="BD10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111.18962127311354</v>
      </c>
      <c r="BE10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191.72873111023685</v>
      </c>
      <c r="BF10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323.46071643087572</v>
      </c>
      <c r="BG10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459.75767153985362</v>
      </c>
      <c r="BH10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566.05625375403247</v>
      </c>
      <c r="BI10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586.92468707215357</v>
      </c>
      <c r="BJ10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596.38069591942713</v>
      </c>
      <c r="BK10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515.51551681170827</v>
      </c>
      <c r="BL10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361.93689036116143</v>
      </c>
      <c r="BM10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232.48738993469192</v>
      </c>
      <c r="BN10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107.60285929656149</v>
      </c>
      <c r="BO10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90.973326496183802</v>
      </c>
      <c r="BP1036">
        <f>SUM(Таб[[#This Row],[1]:[12]])</f>
        <v>4144.0143600000001</v>
      </c>
    </row>
    <row r="1037" spans="2:68" ht="38.25">
      <c r="B1037" t="s">
        <v>384</v>
      </c>
      <c r="C1037" t="str">
        <f>IFERROR(VLOOKUP(Таб[[#This Row],[Зелений Тариф ЕЦ]],Sheet6!$H$9:$I$29,2,FALSE),"")</f>
        <v>Земля</v>
      </c>
      <c r="G1037" s="1" t="s">
        <v>2475</v>
      </c>
      <c r="H1037" t="s">
        <v>198</v>
      </c>
      <c r="J1037" s="7">
        <v>1.9990000000000001</v>
      </c>
      <c r="K1037" s="8">
        <v>43818</v>
      </c>
      <c r="L1037" s="8">
        <v>43844</v>
      </c>
      <c r="M1037">
        <v>1</v>
      </c>
      <c r="N1037" s="49" t="s">
        <v>67</v>
      </c>
      <c r="O1037">
        <v>2020</v>
      </c>
      <c r="P1037">
        <v>0.15029999999999999</v>
      </c>
      <c r="Q1037" s="10"/>
      <c r="R1037" s="11">
        <f>ROUND(Таб[[#This Row],[Зелений Тариф ЕЦ]]+Таб[[#This Row],[Зелений Тариф ЕЦ]]*Таб[[#This Row],[% надбавки]],4)</f>
        <v>0.15029999999999999</v>
      </c>
      <c r="S1037" s="12"/>
      <c r="T1037"/>
      <c r="BD10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64.369549066016219</v>
      </c>
      <c r="BE10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110.99499956251478</v>
      </c>
      <c r="BF10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187.25687001022897</v>
      </c>
      <c r="BG10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266.16147854276494</v>
      </c>
      <c r="BH10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327.69952251790073</v>
      </c>
      <c r="BI10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339.78061090565745</v>
      </c>
      <c r="BJ10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345.25485408135967</v>
      </c>
      <c r="BK10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298.44063657880247</v>
      </c>
      <c r="BL10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209.53137672515547</v>
      </c>
      <c r="BM10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134.59087531985207</v>
      </c>
      <c r="BN10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62.293111999370538</v>
      </c>
      <c r="BO10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52.665994690376905</v>
      </c>
      <c r="BP1037">
        <f>SUM(Таб[[#This Row],[1]:[12]])</f>
        <v>2399.0398799999998</v>
      </c>
    </row>
    <row r="1038" spans="2:68" ht="63.75">
      <c r="B1038" t="s">
        <v>384</v>
      </c>
      <c r="C1038" t="str">
        <f>IFERROR(VLOOKUP(Таб[[#This Row],[Зелений Тариф ЕЦ]],Sheet6!$H$9:$I$29,2,FALSE),"")</f>
        <v>Земля</v>
      </c>
      <c r="G1038" s="1" t="s">
        <v>2477</v>
      </c>
      <c r="H1038" t="s">
        <v>122</v>
      </c>
      <c r="J1038" s="7">
        <v>1.163</v>
      </c>
      <c r="K1038" s="8">
        <v>43816</v>
      </c>
      <c r="L1038" s="8">
        <v>43844</v>
      </c>
      <c r="M1038">
        <v>1</v>
      </c>
      <c r="N1038" s="49" t="s">
        <v>67</v>
      </c>
      <c r="O1038">
        <v>2020</v>
      </c>
      <c r="P1038">
        <v>0.15029999999999999</v>
      </c>
      <c r="Q1038" s="10"/>
      <c r="R1038" s="11">
        <f>ROUND(Таб[[#This Row],[Зелений Тариф ЕЦ]]+Таб[[#This Row],[Зелений Тариф ЕЦ]]*Таб[[#This Row],[% надбавки]],4)</f>
        <v>0.15029999999999999</v>
      </c>
      <c r="S1038" s="12"/>
      <c r="T1038"/>
      <c r="BD10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37.449617590683772</v>
      </c>
      <c r="BE10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64.575880185695183</v>
      </c>
      <c r="BF10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108.94434208198913</v>
      </c>
      <c r="BG10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154.85032493508538</v>
      </c>
      <c r="BH10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190.65259864348099</v>
      </c>
      <c r="BI10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197.68126587457709</v>
      </c>
      <c r="BJ10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200.8661307136675</v>
      </c>
      <c r="BK10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173.63004519317019</v>
      </c>
      <c r="BL10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121.90344728932254</v>
      </c>
      <c r="BM10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78.303745871429697</v>
      </c>
      <c r="BN10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36.241565410339135</v>
      </c>
      <c r="BO10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30.640596210559444</v>
      </c>
      <c r="BP1038">
        <f>SUM(Таб[[#This Row],[1]:[12]])</f>
        <v>1395.7395599999998</v>
      </c>
    </row>
    <row r="1039" spans="2:68" ht="51">
      <c r="B1039" t="s">
        <v>384</v>
      </c>
      <c r="C1039" t="str">
        <f>IFERROR(VLOOKUP(Таб[[#This Row],[Зелений Тариф ЕЦ]],Sheet6!$H$9:$I$29,2,FALSE),"")</f>
        <v>Земля</v>
      </c>
      <c r="G1039" s="1" t="s">
        <v>2479</v>
      </c>
      <c r="H1039" t="s">
        <v>185</v>
      </c>
      <c r="J1039" s="7">
        <v>0.65</v>
      </c>
      <c r="K1039" s="8">
        <v>43796</v>
      </c>
      <c r="L1039" s="8">
        <v>43844</v>
      </c>
      <c r="M1039">
        <v>1</v>
      </c>
      <c r="N1039" s="49" t="s">
        <v>67</v>
      </c>
      <c r="O1039">
        <v>2020</v>
      </c>
      <c r="P1039">
        <v>0.15029999999999999</v>
      </c>
      <c r="Q1039" s="10"/>
      <c r="R1039" s="11">
        <f>ROUND(Таб[[#This Row],[Зелений Тариф ЕЦ]]+Таб[[#This Row],[Зелений Тариф ЕЦ]]*Таб[[#This Row],[% надбавки]],4)</f>
        <v>0.15029999999999999</v>
      </c>
      <c r="S1039" s="12"/>
      <c r="T1039"/>
      <c r="BD10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20.930568730820681</v>
      </c>
      <c r="BE10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36.091420568101348</v>
      </c>
      <c r="BF10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60.888927216932885</v>
      </c>
      <c r="BG10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86.545753403100164</v>
      </c>
      <c r="BH10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106.55562262963254</v>
      </c>
      <c r="BI10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110.48394051459596</v>
      </c>
      <c r="BJ10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112.26395955621999</v>
      </c>
      <c r="BK10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97.041727751986784</v>
      </c>
      <c r="BL10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68.131763317334176</v>
      </c>
      <c r="BM10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43.763916437170508</v>
      </c>
      <c r="BN10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20.255389094342597</v>
      </c>
      <c r="BO10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17.125010779762377</v>
      </c>
      <c r="BP1039">
        <f>SUM(Таб[[#This Row],[1]:[12]])</f>
        <v>780.07799999999997</v>
      </c>
    </row>
    <row r="1040" spans="2:68" ht="38.25">
      <c r="B1040" t="s">
        <v>384</v>
      </c>
      <c r="C1040" t="str">
        <f>IFERROR(VLOOKUP(Таб[[#This Row],[Зелений Тариф ЕЦ]],Sheet6!$H$9:$I$29,2,FALSE),"")</f>
        <v>Земля</v>
      </c>
      <c r="D1040" t="s">
        <v>3439</v>
      </c>
      <c r="F1040" t="s">
        <v>3440</v>
      </c>
      <c r="G1040" s="1" t="s">
        <v>2481</v>
      </c>
      <c r="H1040" t="s">
        <v>233</v>
      </c>
      <c r="J1040" s="7">
        <v>15.698</v>
      </c>
      <c r="K1040" s="8">
        <v>43815</v>
      </c>
      <c r="L1040" s="8">
        <v>43847</v>
      </c>
      <c r="M1040">
        <v>1</v>
      </c>
      <c r="N1040" s="49" t="s">
        <v>67</v>
      </c>
      <c r="O1040">
        <v>2020</v>
      </c>
      <c r="P1040">
        <v>0.15029999999999999</v>
      </c>
      <c r="Q1040" s="10"/>
      <c r="R1040" s="11">
        <f>ROUND(Таб[[#This Row],[Зелений Тариф ЕЦ]]+Таб[[#This Row],[Зелений Тариф ЕЦ]]*Таб[[#This Row],[% надбавки]],4)</f>
        <v>0.15029999999999999</v>
      </c>
      <c r="S1040" s="12"/>
      <c r="T1040"/>
      <c r="BD10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505.4893352868047</v>
      </c>
      <c r="BE10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871.63556935085387</v>
      </c>
      <c r="BF10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1470.5144299252499</v>
      </c>
      <c r="BG10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2090.1465183413329</v>
      </c>
      <c r="BH10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2573.4002523691875</v>
      </c>
      <c r="BI10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2668.2721510740421</v>
      </c>
      <c r="BJ10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2711.2609801746794</v>
      </c>
      <c r="BK10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2343.632372693367</v>
      </c>
      <c r="BL10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1645.4344931623264</v>
      </c>
      <c r="BM10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1056.9322465087732</v>
      </c>
      <c r="BN10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489.18322769690775</v>
      </c>
      <c r="BO10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413.5821834164766</v>
      </c>
      <c r="BP1040">
        <f>SUM(Таб[[#This Row],[1]:[12]])</f>
        <v>18839.483760000003</v>
      </c>
    </row>
    <row r="1041" spans="2:68" ht="25.5">
      <c r="B1041" t="s">
        <v>384</v>
      </c>
      <c r="C1041" t="str">
        <f>IFERROR(VLOOKUP(Таб[[#This Row],[Зелений Тариф ЕЦ]],Sheet6!$H$9:$I$29,2,FALSE),"")</f>
        <v>Земля</v>
      </c>
      <c r="G1041" s="1" t="s">
        <v>2483</v>
      </c>
      <c r="H1041" t="s">
        <v>233</v>
      </c>
      <c r="J1041" s="7">
        <v>4.1580000000000004</v>
      </c>
      <c r="K1041" s="8">
        <v>43816</v>
      </c>
      <c r="L1041" s="8">
        <v>43847</v>
      </c>
      <c r="M1041">
        <v>1</v>
      </c>
      <c r="N1041" s="49" t="s">
        <v>67</v>
      </c>
      <c r="O1041">
        <v>2020</v>
      </c>
      <c r="P1041">
        <v>0.15029999999999999</v>
      </c>
      <c r="Q1041" s="10"/>
      <c r="R1041" s="11">
        <f>ROUND(Таб[[#This Row],[Зелений Тариф ЕЦ]]+Таб[[#This Row],[Зелений Тариф ЕЦ]]*Таб[[#This Row],[% надбавки]],4)</f>
        <v>0.15029999999999999</v>
      </c>
      <c r="S1041" s="12"/>
      <c r="T1041"/>
      <c r="BD10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133.8912381273114</v>
      </c>
      <c r="BE10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230.87404111102376</v>
      </c>
      <c r="BF10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389.50178364308761</v>
      </c>
      <c r="BG10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553.62652715398531</v>
      </c>
      <c r="BH10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681.62812137540323</v>
      </c>
      <c r="BI10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706.75726870721542</v>
      </c>
      <c r="BJ10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718.14391359194269</v>
      </c>
      <c r="BK10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620.76846768117093</v>
      </c>
      <c r="BL10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435.83364903611619</v>
      </c>
      <c r="BM10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279.95440699346921</v>
      </c>
      <c r="BN10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129.57216592965619</v>
      </c>
      <c r="BO10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109.5473766496184</v>
      </c>
      <c r="BP1041">
        <f>SUM(Таб[[#This Row],[1]:[12]])</f>
        <v>4990.0989599999994</v>
      </c>
    </row>
    <row r="1042" spans="2:68" ht="51">
      <c r="B1042" t="s">
        <v>384</v>
      </c>
      <c r="C1042" t="str">
        <f>IFERROR(VLOOKUP(Таб[[#This Row],[Зелений Тариф ЕЦ]],Sheet6!$H$9:$I$29,2,FALSE),"")</f>
        <v>Земля</v>
      </c>
      <c r="G1042" s="1" t="s">
        <v>2485</v>
      </c>
      <c r="H1042" t="s">
        <v>136</v>
      </c>
      <c r="J1042" s="7">
        <v>4.5549999999999997</v>
      </c>
      <c r="K1042" s="8">
        <v>43810</v>
      </c>
      <c r="L1042" s="8">
        <v>43847</v>
      </c>
      <c r="M1042">
        <v>1</v>
      </c>
      <c r="N1042" s="49" t="s">
        <v>67</v>
      </c>
      <c r="O1042">
        <v>2020</v>
      </c>
      <c r="P1042">
        <v>0.15029999999999999</v>
      </c>
      <c r="Q1042" s="10"/>
      <c r="R1042" s="11">
        <f>ROUND(Таб[[#This Row],[Зелений Тариф ЕЦ]]+Таб[[#This Row],[Зелений Тариф ЕЦ]]*Таб[[#This Row],[% надбавки]],4)</f>
        <v>0.15029999999999999</v>
      </c>
      <c r="S1042" s="12"/>
      <c r="T1042"/>
      <c r="BD10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146.67498549059724</v>
      </c>
      <c r="BE10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252.91757028877174</v>
      </c>
      <c r="BF10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426.69086688173735</v>
      </c>
      <c r="BG10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606.48601038634024</v>
      </c>
      <c r="BH10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746.70901704304038</v>
      </c>
      <c r="BI10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774.23746006766874</v>
      </c>
      <c r="BJ10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786.71128581320318</v>
      </c>
      <c r="BK10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680.03856909276885</v>
      </c>
      <c r="BL10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477.4464337083956</v>
      </c>
      <c r="BM10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306.68406057124866</v>
      </c>
      <c r="BN10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141.94353434573924</v>
      </c>
      <c r="BO10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120.00680631048863</v>
      </c>
      <c r="BP1042">
        <f>SUM(Таб[[#This Row],[1]:[12]])</f>
        <v>5466.5465999999997</v>
      </c>
    </row>
    <row r="1043" spans="2:68" ht="51">
      <c r="B1043" t="s">
        <v>384</v>
      </c>
      <c r="C1043" t="str">
        <f>IFERROR(VLOOKUP(Таб[[#This Row],[Зелений Тариф ЕЦ]],Sheet6!$H$9:$I$29,2,FALSE),"")</f>
        <v>Земля</v>
      </c>
      <c r="G1043" s="1" t="s">
        <v>2487</v>
      </c>
      <c r="H1043" t="s">
        <v>198</v>
      </c>
      <c r="J1043" s="7">
        <v>6.2919999999999998</v>
      </c>
      <c r="K1043" s="8">
        <v>43812</v>
      </c>
      <c r="L1043" s="8">
        <v>43847</v>
      </c>
      <c r="M1043">
        <v>1</v>
      </c>
      <c r="N1043" s="49" t="s">
        <v>67</v>
      </c>
      <c r="O1043">
        <v>2020</v>
      </c>
      <c r="P1043">
        <v>0.15029999999999999</v>
      </c>
      <c r="Q1043" s="10"/>
      <c r="R1043" s="11">
        <f>ROUND(Таб[[#This Row],[Зелений Тариф ЕЦ]]+Таб[[#This Row],[Зелений Тариф ЕЦ]]*Таб[[#This Row],[% надбавки]],4)</f>
        <v>0.15029999999999999</v>
      </c>
      <c r="S1043" s="12"/>
      <c r="T1043"/>
      <c r="BD10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202.60790531434421</v>
      </c>
      <c r="BE10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349.36495109922106</v>
      </c>
      <c r="BF10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589.4048154599102</v>
      </c>
      <c r="BG10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837.76289294200956</v>
      </c>
      <c r="BH10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1031.458427054843</v>
      </c>
      <c r="BI10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1069.4845441812888</v>
      </c>
      <c r="BJ10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1086.7151285042096</v>
      </c>
      <c r="BK10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939.36392463923198</v>
      </c>
      <c r="BL10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659.51546891179487</v>
      </c>
      <c r="BM10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423.63471111181047</v>
      </c>
      <c r="BN10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196.07216643323633</v>
      </c>
      <c r="BO10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165.77010434809978</v>
      </c>
      <c r="BP1043">
        <f>SUM(Таб[[#This Row],[1]:[12]])</f>
        <v>7551.1550400000006</v>
      </c>
    </row>
    <row r="1044" spans="2:68" ht="51">
      <c r="B1044" t="s">
        <v>384</v>
      </c>
      <c r="C1044" t="str">
        <f>IFERROR(VLOOKUP(Таб[[#This Row],[Зелений Тариф ЕЦ]],Sheet6!$H$9:$I$29,2,FALSE),"")</f>
        <v>Дах</v>
      </c>
      <c r="G1044" s="1" t="s">
        <v>2489</v>
      </c>
      <c r="H1044" t="s">
        <v>136</v>
      </c>
      <c r="J1044" s="7">
        <v>0.09</v>
      </c>
      <c r="K1044" s="8">
        <v>43817</v>
      </c>
      <c r="L1044" s="8">
        <v>43847</v>
      </c>
      <c r="M1044">
        <v>1</v>
      </c>
      <c r="N1044" s="49" t="s">
        <v>67</v>
      </c>
      <c r="O1044">
        <v>2020</v>
      </c>
      <c r="P1044">
        <v>0.16370000000000001</v>
      </c>
      <c r="Q1044" s="10"/>
      <c r="R1044" s="11">
        <f>ROUND(Таб[[#This Row],[Зелений Тариф ЕЦ]]+Таб[[#This Row],[Зелений Тариф ЕЦ]]*Таб[[#This Row],[% надбавки]],4)</f>
        <v>0.16370000000000001</v>
      </c>
      <c r="S1044" s="12"/>
      <c r="T1044"/>
      <c r="BD10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2.8980787473444019</v>
      </c>
      <c r="BE10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4.9972736171217242</v>
      </c>
      <c r="BF10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8.4307745377291674</v>
      </c>
      <c r="BG10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11.983258163506175</v>
      </c>
      <c r="BH10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14.753855441026044</v>
      </c>
      <c r="BI10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15.297776378944054</v>
      </c>
      <c r="BJ10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15.544240553938153</v>
      </c>
      <c r="BK10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13.436546919505862</v>
      </c>
      <c r="BL10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9.4336287670155023</v>
      </c>
      <c r="BM10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6.0596191989928379</v>
      </c>
      <c r="BN10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2.804592336139744</v>
      </c>
      <c r="BO10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2.3711553387363287</v>
      </c>
      <c r="BP1044">
        <f>SUM(Таб[[#This Row],[1]:[12]])</f>
        <v>108.01079999999999</v>
      </c>
    </row>
    <row r="1045" spans="2:68" ht="38.25">
      <c r="B1045" t="s">
        <v>384</v>
      </c>
      <c r="C1045" t="str">
        <f>IFERROR(VLOOKUP(Таб[[#This Row],[Зелений Тариф ЕЦ]],Sheet6!$H$9:$I$29,2,FALSE),"")</f>
        <v>Дах</v>
      </c>
      <c r="G1045" s="1" t="s">
        <v>2491</v>
      </c>
      <c r="H1045" t="s">
        <v>62</v>
      </c>
      <c r="J1045" s="7">
        <v>0.83899999999999997</v>
      </c>
      <c r="K1045" s="8">
        <v>43816</v>
      </c>
      <c r="L1045" s="8">
        <v>43847</v>
      </c>
      <c r="M1045">
        <v>1</v>
      </c>
      <c r="N1045" s="49" t="s">
        <v>67</v>
      </c>
      <c r="O1045">
        <v>2020</v>
      </c>
      <c r="P1045">
        <v>0.16370000000000001</v>
      </c>
      <c r="Q1045" s="10"/>
      <c r="R1045" s="11">
        <f>ROUND(Таб[[#This Row],[Зелений Тариф ЕЦ]]+Таб[[#This Row],[Зелений Тариф ЕЦ]]*Таб[[#This Row],[% надбавки]],4)</f>
        <v>0.16370000000000001</v>
      </c>
      <c r="S1045" s="12"/>
      <c r="T1045"/>
      <c r="BD10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27.016534100243923</v>
      </c>
      <c r="BE10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46.585695164056972</v>
      </c>
      <c r="BF10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78.593553746164119</v>
      </c>
      <c r="BG10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111.71059554646313</v>
      </c>
      <c r="BH10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137.53871905578723</v>
      </c>
      <c r="BI10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142.60927091037848</v>
      </c>
      <c r="BJ10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144.90686471949013</v>
      </c>
      <c r="BK10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125.25847628294909</v>
      </c>
      <c r="BL10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87.94238372806673</v>
      </c>
      <c r="BM10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56.489116755055463</v>
      </c>
      <c r="BN10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26.145033000236058</v>
      </c>
      <c r="BO10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22.104436991108663</v>
      </c>
      <c r="BP1045">
        <f>SUM(Таб[[#This Row],[1]:[12]])</f>
        <v>1006.90068</v>
      </c>
    </row>
    <row r="1046" spans="2:68" ht="25.5">
      <c r="B1046" t="s">
        <v>384</v>
      </c>
      <c r="C1046" t="str">
        <f>IFERROR(VLOOKUP(Таб[[#This Row],[Зелений Тариф ЕЦ]],Sheet6!$H$9:$I$29,2,FALSE),"")</f>
        <v>Дах</v>
      </c>
      <c r="G1046" s="1" t="s">
        <v>2493</v>
      </c>
      <c r="H1046" t="s">
        <v>136</v>
      </c>
      <c r="J1046" s="7">
        <v>0.60399999999999998</v>
      </c>
      <c r="K1046" s="8">
        <v>43822</v>
      </c>
      <c r="L1046" s="8">
        <v>43847</v>
      </c>
      <c r="M1046">
        <v>1</v>
      </c>
      <c r="N1046" s="49" t="s">
        <v>67</v>
      </c>
      <c r="O1046">
        <v>2020</v>
      </c>
      <c r="P1046">
        <v>0.16370000000000001</v>
      </c>
      <c r="Q1046" s="10"/>
      <c r="R1046" s="11">
        <f>ROUND(Таб[[#This Row],[Зелений Тариф ЕЦ]]+Таб[[#This Row],[Зелений Тариф ЕЦ]]*Таб[[#This Row],[% надбавки]],4)</f>
        <v>0.16370000000000001</v>
      </c>
      <c r="S1046" s="12"/>
      <c r="T1046"/>
      <c r="BD10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19.449328482177989</v>
      </c>
      <c r="BE10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33.537258497128022</v>
      </c>
      <c r="BF10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56.579864675426862</v>
      </c>
      <c r="BG10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80.420977008419229</v>
      </c>
      <c r="BH10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99.014763181997012</v>
      </c>
      <c r="BI10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102.66507703202456</v>
      </c>
      <c r="BJ10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104.31912549531827</v>
      </c>
      <c r="BK10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90.174159326461563</v>
      </c>
      <c r="BL10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63.310130836415141</v>
      </c>
      <c r="BM10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40.66677773546305</v>
      </c>
      <c r="BN10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18.821930789204501</v>
      </c>
      <c r="BO10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15.913086939963804</v>
      </c>
      <c r="BP1046">
        <f>SUM(Таб[[#This Row],[1]:[12]])</f>
        <v>724.87248000000011</v>
      </c>
    </row>
    <row r="1047" spans="2:68" ht="38.25">
      <c r="B1047" t="s">
        <v>384</v>
      </c>
      <c r="C1047" t="str">
        <f>IFERROR(VLOOKUP(Таб[[#This Row],[Зелений Тариф ЕЦ]],Sheet6!$H$9:$I$29,2,FALSE),"")</f>
        <v>Дах</v>
      </c>
      <c r="G1047" s="1" t="s">
        <v>2495</v>
      </c>
      <c r="H1047" t="s">
        <v>185</v>
      </c>
      <c r="J1047" s="7">
        <v>0.85099999999999998</v>
      </c>
      <c r="K1047" s="8">
        <v>43818</v>
      </c>
      <c r="L1047" s="8">
        <v>43847</v>
      </c>
      <c r="M1047">
        <v>1</v>
      </c>
      <c r="N1047" s="49" t="s">
        <v>67</v>
      </c>
      <c r="O1047">
        <v>2020</v>
      </c>
      <c r="P1047">
        <v>0.16370000000000001</v>
      </c>
      <c r="Q1047" s="10"/>
      <c r="R1047" s="11">
        <f>ROUND(Таб[[#This Row],[Зелений Тариф ЕЦ]]+Таб[[#This Row],[Зелений Тариф ЕЦ]]*Таб[[#This Row],[% надбавки]],4)</f>
        <v>0.16370000000000001</v>
      </c>
      <c r="S1047" s="12"/>
      <c r="T1047"/>
      <c r="BD10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27.402944599889842</v>
      </c>
      <c r="BE10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47.251998313006531</v>
      </c>
      <c r="BF10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79.717657017861356</v>
      </c>
      <c r="BG10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113.30836330159728</v>
      </c>
      <c r="BH10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139.50589978125737</v>
      </c>
      <c r="BI10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144.64897442757103</v>
      </c>
      <c r="BJ10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146.97943012668185</v>
      </c>
      <c r="BK10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127.05001587221653</v>
      </c>
      <c r="BL10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89.200200897002134</v>
      </c>
      <c r="BM10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57.297065981587842</v>
      </c>
      <c r="BN10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26.518978645054688</v>
      </c>
      <c r="BO10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22.420591036273507</v>
      </c>
      <c r="BP1047">
        <f>SUM(Таб[[#This Row],[1]:[12]])</f>
        <v>1021.3021199999999</v>
      </c>
    </row>
    <row r="1048" spans="2:68" ht="51">
      <c r="B1048" t="s">
        <v>384</v>
      </c>
      <c r="C1048" t="str">
        <f>IFERROR(VLOOKUP(Таб[[#This Row],[Зелений Тариф ЕЦ]],Sheet6!$H$9:$I$29,2,FALSE),"")</f>
        <v>Дах</v>
      </c>
      <c r="G1048" s="1" t="s">
        <v>2497</v>
      </c>
      <c r="H1048" t="s">
        <v>185</v>
      </c>
      <c r="J1048" s="7">
        <v>0.97299999999999998</v>
      </c>
      <c r="K1048" s="8">
        <v>43818</v>
      </c>
      <c r="L1048" s="8">
        <v>43847</v>
      </c>
      <c r="M1048">
        <v>1</v>
      </c>
      <c r="N1048" s="49" t="s">
        <v>67</v>
      </c>
      <c r="O1048">
        <v>2020</v>
      </c>
      <c r="P1048">
        <v>0.16370000000000001</v>
      </c>
      <c r="Q1048" s="10"/>
      <c r="R1048" s="11">
        <f>ROUND(Таб[[#This Row],[Зелений Тариф ЕЦ]]+Таб[[#This Row],[Зелений Тариф ЕЦ]]*Таб[[#This Row],[% надбавки]],4)</f>
        <v>0.16370000000000001</v>
      </c>
      <c r="S1048" s="12"/>
      <c r="T1048"/>
      <c r="BD10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31.331451346290034</v>
      </c>
      <c r="BE10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54.026080327327094</v>
      </c>
      <c r="BF10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91.146040280116438</v>
      </c>
      <c r="BG10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129.55233547879453</v>
      </c>
      <c r="BH10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159.50557049020378</v>
      </c>
      <c r="BI10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165.38596018569518</v>
      </c>
      <c r="BJ10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168.05051176646469</v>
      </c>
      <c r="BK10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145.2640016964356</v>
      </c>
      <c r="BL10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101.98800878117869</v>
      </c>
      <c r="BM10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65.511216451333695</v>
      </c>
      <c r="BN10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30.320759367377455</v>
      </c>
      <c r="BO10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25.634823828782753</v>
      </c>
      <c r="BP1048">
        <f>SUM(Таб[[#This Row],[1]:[12]])</f>
        <v>1167.71676</v>
      </c>
    </row>
    <row r="1049" spans="2:68" ht="38.25">
      <c r="B1049" t="s">
        <v>384</v>
      </c>
      <c r="C1049" t="str">
        <f>IFERROR(VLOOKUP(Таб[[#This Row],[Зелений Тариф ЕЦ]],Sheet6!$H$9:$I$29,2,FALSE),"")</f>
        <v>Земля</v>
      </c>
      <c r="D1049" t="s">
        <v>3362</v>
      </c>
      <c r="F1049" t="s">
        <v>3287</v>
      </c>
      <c r="G1049" s="1" t="s">
        <v>2413</v>
      </c>
      <c r="H1049" t="s">
        <v>73</v>
      </c>
      <c r="J1049" s="7">
        <v>31.01</v>
      </c>
      <c r="K1049" s="8">
        <v>43820</v>
      </c>
      <c r="L1049" s="8">
        <v>43847</v>
      </c>
      <c r="M1049">
        <v>1</v>
      </c>
      <c r="N1049" s="49" t="s">
        <v>67</v>
      </c>
      <c r="O1049">
        <v>2020</v>
      </c>
      <c r="P1049">
        <v>0.15029999999999999</v>
      </c>
      <c r="Q1049" s="10"/>
      <c r="R1049" s="11">
        <f>ROUND(Таб[[#This Row],[Зелений Тариф ЕЦ]]+Таб[[#This Row],[Зелений Тариф ЕЦ]]*Таб[[#This Row],[% надбавки]],4)</f>
        <v>0.15029999999999999</v>
      </c>
      <c r="S1049" s="12"/>
      <c r="T1049"/>
      <c r="BD10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998.54913283499889</v>
      </c>
      <c r="BE10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1721.8383874104968</v>
      </c>
      <c r="BF10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2904.8702046109056</v>
      </c>
      <c r="BG10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4128.8981738925177</v>
      </c>
      <c r="BH10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5083.5228580690846</v>
      </c>
      <c r="BI10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5270.9338390117246</v>
      </c>
      <c r="BJ10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5355.8544397513579</v>
      </c>
      <c r="BK10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4629.6368885986312</v>
      </c>
      <c r="BL10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3250.4092007238969</v>
      </c>
      <c r="BM10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2087.8754595640885</v>
      </c>
      <c r="BN10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966.33787048548288</v>
      </c>
      <c r="BO10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816.99474504681734</v>
      </c>
      <c r="BP1049">
        <f>SUM(Таб[[#This Row],[1]:[12]])</f>
        <v>37215.7212</v>
      </c>
    </row>
    <row r="1050" spans="2:68" ht="38.25">
      <c r="B1050" t="s">
        <v>384</v>
      </c>
      <c r="C1050" t="str">
        <f>IFERROR(VLOOKUP(Таб[[#This Row],[Зелений Тариф ЕЦ]],Sheet6!$H$9:$I$29,2,FALSE),"")</f>
        <v>Земля</v>
      </c>
      <c r="D1050" t="s">
        <v>3362</v>
      </c>
      <c r="F1050" t="s">
        <v>3287</v>
      </c>
      <c r="G1050" s="1" t="s">
        <v>2413</v>
      </c>
      <c r="H1050" t="s">
        <v>73</v>
      </c>
      <c r="J1050" s="7">
        <v>14.766999999999999</v>
      </c>
      <c r="K1050" s="8">
        <v>43820</v>
      </c>
      <c r="L1050" s="8">
        <v>43847</v>
      </c>
      <c r="M1050">
        <v>1</v>
      </c>
      <c r="N1050" s="49" t="s">
        <v>67</v>
      </c>
      <c r="O1050">
        <v>2020</v>
      </c>
      <c r="P1050">
        <v>0.15029999999999999</v>
      </c>
      <c r="Q1050" s="10"/>
      <c r="R1050" s="11">
        <f>ROUND(Таб[[#This Row],[Зелений Тариф ЕЦ]]+Таб[[#This Row],[Зелений Тариф ЕЦ]]*Таб[[#This Row],[% надбавки]],4)</f>
        <v>0.15029999999999999</v>
      </c>
      <c r="S1050" s="12"/>
      <c r="T1050"/>
      <c r="BD10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475.51032068927543</v>
      </c>
      <c r="BE10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819.94155004485015</v>
      </c>
      <c r="BF10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1383.3027510960735</v>
      </c>
      <c r="BG10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1966.1863700055078</v>
      </c>
      <c r="BH10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2420.7798144181288</v>
      </c>
      <c r="BI10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2510.0251531985209</v>
      </c>
      <c r="BJ10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2550.4644473333856</v>
      </c>
      <c r="BK10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2204.6387595593674</v>
      </c>
      <c r="BL10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1547.8488444724212</v>
      </c>
      <c r="BM10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994.24885235030274</v>
      </c>
      <c r="BN10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460.17127808639555</v>
      </c>
      <c r="BO10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389.05389874577077</v>
      </c>
      <c r="BP1050">
        <f>SUM(Таб[[#This Row],[1]:[12]])</f>
        <v>17722.172040000001</v>
      </c>
    </row>
    <row r="1051" spans="2:68" ht="38.25">
      <c r="B1051" t="s">
        <v>384</v>
      </c>
      <c r="C1051" t="str">
        <f>IFERROR(VLOOKUP(Таб[[#This Row],[Зелений Тариф ЕЦ]],Sheet6!$H$9:$I$29,2,FALSE),"")</f>
        <v>Земля</v>
      </c>
      <c r="D1051" t="s">
        <v>3441</v>
      </c>
      <c r="F1051" t="s">
        <v>3287</v>
      </c>
      <c r="G1051" s="1" t="s">
        <v>2501</v>
      </c>
      <c r="H1051" t="s">
        <v>176</v>
      </c>
      <c r="J1051" s="7">
        <v>10.637</v>
      </c>
      <c r="K1051" s="8">
        <v>43819</v>
      </c>
      <c r="L1051" s="8">
        <v>43847</v>
      </c>
      <c r="M1051">
        <v>1</v>
      </c>
      <c r="N1051" s="49" t="s">
        <v>67</v>
      </c>
      <c r="O1051">
        <v>2020</v>
      </c>
      <c r="P1051">
        <v>0.15029999999999999</v>
      </c>
      <c r="Q1051" s="10"/>
      <c r="R1051" s="11">
        <f>ROUND(Таб[[#This Row],[Зелений Тариф ЕЦ]]+Таб[[#This Row],[Зелений Тариф ЕЦ]]*Таб[[#This Row],[% надбавки]],4)</f>
        <v>0.15029999999999999</v>
      </c>
      <c r="S1051" s="12"/>
      <c r="T1051"/>
      <c r="BD10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342.52070706113784</v>
      </c>
      <c r="BE10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590.62221628137547</v>
      </c>
      <c r="BF10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996.42387508694628</v>
      </c>
      <c r="BG10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1416.2879676135024</v>
      </c>
      <c r="BH10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1743.741781402156</v>
      </c>
      <c r="BI10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1808.0271926980881</v>
      </c>
      <c r="BJ10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1837.1565196915574</v>
      </c>
      <c r="BK10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1588.0505509198206</v>
      </c>
      <c r="BL10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1114.9501021638212</v>
      </c>
      <c r="BM10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716.17966021874258</v>
      </c>
      <c r="BN10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331.47165199464956</v>
      </c>
      <c r="BO10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280.24421486820364</v>
      </c>
      <c r="BP1051">
        <f>SUM(Таб[[#This Row],[1]:[12]])</f>
        <v>12765.676440000001</v>
      </c>
    </row>
    <row r="1052" spans="2:68" ht="25.5">
      <c r="B1052" t="s">
        <v>384</v>
      </c>
      <c r="C1052" t="str">
        <f>IFERROR(VLOOKUP(Таб[[#This Row],[Зелений Тариф ЕЦ]],Sheet6!$H$9:$I$29,2,FALSE),"")</f>
        <v>Земля</v>
      </c>
      <c r="G1052" s="1" t="s">
        <v>2503</v>
      </c>
      <c r="H1052" t="s">
        <v>122</v>
      </c>
      <c r="J1052" s="7">
        <v>6.4029999999999996</v>
      </c>
      <c r="K1052" s="8">
        <v>43774</v>
      </c>
      <c r="L1052" s="8">
        <v>43847</v>
      </c>
      <c r="M1052">
        <v>1</v>
      </c>
      <c r="N1052" s="49" t="s">
        <v>67</v>
      </c>
      <c r="O1052">
        <v>2020</v>
      </c>
      <c r="P1052">
        <v>0.15029999999999999</v>
      </c>
      <c r="Q1052" s="10"/>
      <c r="R1052" s="11">
        <f>ROUND(Таб[[#This Row],[Зелений Тариф ЕЦ]]+Таб[[#This Row],[Зелений Тариф ЕЦ]]*Таб[[#This Row],[% надбавки]],4)</f>
        <v>0.15029999999999999</v>
      </c>
      <c r="S1052" s="12"/>
      <c r="T1052"/>
      <c r="BD10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206.18220243606893</v>
      </c>
      <c r="BE10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355.52825522700448</v>
      </c>
      <c r="BF10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599.80277072310946</v>
      </c>
      <c r="BG10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852.54224467700055</v>
      </c>
      <c r="BH10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1049.6548487654418</v>
      </c>
      <c r="BI10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1088.3518017153199</v>
      </c>
      <c r="BJ10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1105.8863585207332</v>
      </c>
      <c r="BK10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955.93566583995585</v>
      </c>
      <c r="BL10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671.15027772444728</v>
      </c>
      <c r="BM10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431.10824145723495</v>
      </c>
      <c r="BN10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199.53116364780865</v>
      </c>
      <c r="BO10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168.69452926587456</v>
      </c>
      <c r="BP1052">
        <f>SUM(Таб[[#This Row],[1]:[12]])</f>
        <v>7684.3683599999995</v>
      </c>
    </row>
    <row r="1053" spans="2:68" ht="51">
      <c r="B1053" t="s">
        <v>384</v>
      </c>
      <c r="C1053" t="str">
        <f>IFERROR(VLOOKUP(Таб[[#This Row],[Зелений Тариф ЕЦ]],Sheet6!$H$9:$I$29,2,FALSE),"")</f>
        <v>Земля</v>
      </c>
      <c r="G1053" s="1" t="s">
        <v>2010</v>
      </c>
      <c r="H1053" t="s">
        <v>233</v>
      </c>
      <c r="J1053" s="7">
        <v>1.659</v>
      </c>
      <c r="K1053" s="8">
        <v>43816</v>
      </c>
      <c r="L1053" s="8">
        <v>43847</v>
      </c>
      <c r="M1053">
        <v>1</v>
      </c>
      <c r="N1053" s="49" t="s">
        <v>67</v>
      </c>
      <c r="O1053">
        <v>2020</v>
      </c>
      <c r="P1053">
        <v>0.15029999999999999</v>
      </c>
      <c r="Q1053" s="10"/>
      <c r="R1053" s="11">
        <f>ROUND(Таб[[#This Row],[Зелений Тариф ЕЦ]]+Таб[[#This Row],[Зелений Тариф ЕЦ]]*Таб[[#This Row],[% надбавки]],4)</f>
        <v>0.15029999999999999</v>
      </c>
      <c r="S1053" s="12"/>
      <c r="T1053"/>
      <c r="BD10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53.421251576048476</v>
      </c>
      <c r="BE10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92.116410342277135</v>
      </c>
      <c r="BF10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155.40727731214099</v>
      </c>
      <c r="BG10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220.89139214729718</v>
      </c>
      <c r="BH10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271.96273529624676</v>
      </c>
      <c r="BI10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281.98901125186876</v>
      </c>
      <c r="BJ10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286.53216754426001</v>
      </c>
      <c r="BK10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247.68034821622476</v>
      </c>
      <c r="BL10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173.89322360531906</v>
      </c>
      <c r="BM10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111.69898056810135</v>
      </c>
      <c r="BN10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51.697985396175937</v>
      </c>
      <c r="BO10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43.708296744039657</v>
      </c>
      <c r="BP1053">
        <f>SUM(Таб[[#This Row],[1]:[12]])</f>
        <v>1990.9990800000003</v>
      </c>
    </row>
    <row r="1054" spans="2:68" ht="51">
      <c r="B1054" t="s">
        <v>384</v>
      </c>
      <c r="C1054" t="str">
        <f>IFERROR(VLOOKUP(Таб[[#This Row],[Зелений Тариф ЕЦ]],Sheet6!$H$9:$I$29,2,FALSE),"")</f>
        <v>Земля</v>
      </c>
      <c r="G1054" s="1" t="s">
        <v>2506</v>
      </c>
      <c r="H1054" t="s">
        <v>101</v>
      </c>
      <c r="J1054" s="7">
        <v>1.24</v>
      </c>
      <c r="K1054" s="8">
        <v>43823</v>
      </c>
      <c r="L1054" s="8">
        <v>43847</v>
      </c>
      <c r="M1054">
        <v>1</v>
      </c>
      <c r="N1054" s="49" t="s">
        <v>67</v>
      </c>
      <c r="O1054">
        <v>2020</v>
      </c>
      <c r="P1054">
        <v>0.15029999999999999</v>
      </c>
      <c r="Q1054" s="10"/>
      <c r="R1054" s="11">
        <f>ROUND(Таб[[#This Row],[Зелений Тариф ЕЦ]]+Таб[[#This Row],[Зелений Тариф ЕЦ]]*Таб[[#This Row],[% надбавки]],4)</f>
        <v>0.15029999999999999</v>
      </c>
      <c r="S1054" s="12"/>
      <c r="T1054"/>
      <c r="BD10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39.929084963411761</v>
      </c>
      <c r="BE10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68.851325391454878</v>
      </c>
      <c r="BF10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116.15733807537964</v>
      </c>
      <c r="BG10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165.10266803052954</v>
      </c>
      <c r="BH10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203.27534163191439</v>
      </c>
      <c r="BI10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210.76936344322922</v>
      </c>
      <c r="BJ10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214.16509207648124</v>
      </c>
      <c r="BK10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185.12575755763635</v>
      </c>
      <c r="BL10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129.97444078999138</v>
      </c>
      <c r="BM10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83.488086741679112</v>
      </c>
      <c r="BN10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38.641049964592028</v>
      </c>
      <c r="BO10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32.669251333700529</v>
      </c>
      <c r="BP1054">
        <f>SUM(Таб[[#This Row],[1]:[12]])</f>
        <v>1488.1487999999997</v>
      </c>
    </row>
    <row r="1055" spans="2:68" ht="38.25">
      <c r="B1055" t="s">
        <v>384</v>
      </c>
      <c r="C1055" t="str">
        <f>IFERROR(VLOOKUP(Таб[[#This Row],[Зелений Тариф ЕЦ]],Sheet6!$H$9:$I$29,2,FALSE),"")</f>
        <v>Дах</v>
      </c>
      <c r="G1055" s="1" t="s">
        <v>2039</v>
      </c>
      <c r="H1055" t="s">
        <v>107</v>
      </c>
      <c r="J1055" s="7">
        <v>0.74299999999999999</v>
      </c>
      <c r="K1055" s="8">
        <v>43801</v>
      </c>
      <c r="L1055" s="8">
        <v>43847</v>
      </c>
      <c r="M1055">
        <v>1</v>
      </c>
      <c r="N1055" s="49" t="s">
        <v>67</v>
      </c>
      <c r="O1055">
        <v>2020</v>
      </c>
      <c r="P1055">
        <v>0.16370000000000001</v>
      </c>
      <c r="Q1055" s="10"/>
      <c r="R1055" s="11">
        <f>ROUND(Таб[[#This Row],[Зелений Тариф ЕЦ]]+Таб[[#This Row],[Зелений Тариф ЕЦ]]*Таб[[#This Row],[% надбавки]],4)</f>
        <v>0.16370000000000001</v>
      </c>
      <c r="S1055" s="12"/>
      <c r="T1055"/>
      <c r="BD10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23.925250103076564</v>
      </c>
      <c r="BE10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41.255269972460461</v>
      </c>
      <c r="BF10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69.600727572586351</v>
      </c>
      <c r="BG10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98.928453505389868</v>
      </c>
      <c r="BH10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121.80127325202612</v>
      </c>
      <c r="BI10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126.29164277283816</v>
      </c>
      <c r="BJ10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128.3263414619561</v>
      </c>
      <c r="BK10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110.92615956880951</v>
      </c>
      <c r="BL10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77.879846376583529</v>
      </c>
      <c r="BM10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50.025522942796442</v>
      </c>
      <c r="BN10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23.153467841686997</v>
      </c>
      <c r="BO10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19.575204629789912</v>
      </c>
      <c r="BP1055">
        <f>SUM(Таб[[#This Row],[1]:[12]])</f>
        <v>891.6891599999999</v>
      </c>
    </row>
    <row r="1056" spans="2:68" ht="38.25">
      <c r="B1056" t="s">
        <v>384</v>
      </c>
      <c r="C1056" t="str">
        <f>IFERROR(VLOOKUP(Таб[[#This Row],[Зелений Тариф ЕЦ]],Sheet6!$H$9:$I$29,2,FALSE),"")</f>
        <v>Дах</v>
      </c>
      <c r="G1056" s="1" t="s">
        <v>2509</v>
      </c>
      <c r="H1056" t="s">
        <v>136</v>
      </c>
      <c r="J1056" s="7">
        <v>1.036</v>
      </c>
      <c r="K1056" s="8">
        <v>43801</v>
      </c>
      <c r="L1056" s="8">
        <v>43847</v>
      </c>
      <c r="M1056">
        <v>1</v>
      </c>
      <c r="N1056" s="49" t="s">
        <v>67</v>
      </c>
      <c r="O1056">
        <v>2020</v>
      </c>
      <c r="P1056">
        <v>0.16370000000000001</v>
      </c>
      <c r="Q1056" s="10"/>
      <c r="R1056" s="11">
        <f>ROUND(Таб[[#This Row],[Зелений Тариф ЕЦ]]+Таб[[#This Row],[Зелений Тариф ЕЦ]]*Таб[[#This Row],[% надбавки]],4)</f>
        <v>0.16370000000000001</v>
      </c>
      <c r="S1056" s="12"/>
      <c r="T1056"/>
      <c r="BD10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33.360106469431116</v>
      </c>
      <c r="BE10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57.524171859312304</v>
      </c>
      <c r="BF10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97.047582456526882</v>
      </c>
      <c r="BG10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137.9406161932489</v>
      </c>
      <c r="BH10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169.83326929892203</v>
      </c>
      <c r="BI10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176.09440365095602</v>
      </c>
      <c r="BJ10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178.93148015422142</v>
      </c>
      <c r="BK10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154.66958454008972</v>
      </c>
      <c r="BL10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108.59154891808956</v>
      </c>
      <c r="BM10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69.752949890628685</v>
      </c>
      <c r="BN10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32.283974002675272</v>
      </c>
      <c r="BO10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27.294632565898183</v>
      </c>
      <c r="BP1056">
        <f>SUM(Таб[[#This Row],[1]:[12]])</f>
        <v>1243.3243199999999</v>
      </c>
    </row>
    <row r="1057" spans="2:68" ht="38.25">
      <c r="B1057" t="s">
        <v>384</v>
      </c>
      <c r="C1057" t="str">
        <f>IFERROR(VLOOKUP(Таб[[#This Row],[Зелений Тариф ЕЦ]],Sheet6!$H$9:$I$29,2,FALSE),"")</f>
        <v>Земля</v>
      </c>
      <c r="D1057" t="s">
        <v>3442</v>
      </c>
      <c r="F1057" t="s">
        <v>3369</v>
      </c>
      <c r="G1057" s="1" t="s">
        <v>2511</v>
      </c>
      <c r="H1057" t="s">
        <v>163</v>
      </c>
      <c r="J1057" s="7">
        <v>10.888</v>
      </c>
      <c r="K1057" s="8">
        <v>43815</v>
      </c>
      <c r="L1057" s="8">
        <v>43854</v>
      </c>
      <c r="M1057">
        <v>1</v>
      </c>
      <c r="N1057" s="49" t="s">
        <v>67</v>
      </c>
      <c r="O1057">
        <v>2020</v>
      </c>
      <c r="P1057">
        <v>0.15029999999999999</v>
      </c>
      <c r="Q1057" s="10"/>
      <c r="R1057" s="11">
        <f>ROUND(Таб[[#This Row],[Зелений Тариф ЕЦ]]+Таб[[#This Row],[Зелений Тариф ЕЦ]]*Таб[[#This Row],[% надбавки]],4)</f>
        <v>0.15029999999999999</v>
      </c>
      <c r="S1057" s="12"/>
      <c r="T1057"/>
      <c r="BD10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350.60312667873166</v>
      </c>
      <c r="BE10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604.5590571469038</v>
      </c>
      <c r="BF10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1019.9363685199464</v>
      </c>
      <c r="BG10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1449.7079431583916</v>
      </c>
      <c r="BH10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1784.8886449099064</v>
      </c>
      <c r="BI10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1850.6909912660317</v>
      </c>
      <c r="BJ10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1880.5076794586512</v>
      </c>
      <c r="BK10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1625.5235873286647</v>
      </c>
      <c r="BL10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1141.2594446140533</v>
      </c>
      <c r="BM10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733.07926487371151</v>
      </c>
      <c r="BN10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339.29334839877259</v>
      </c>
      <c r="BO10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286.85710364623498</v>
      </c>
      <c r="BP1057">
        <f>SUM(Таб[[#This Row],[1]:[12]])</f>
        <v>13066.906559999999</v>
      </c>
    </row>
    <row r="1058" spans="2:68" ht="38.25">
      <c r="B1058" t="s">
        <v>384</v>
      </c>
      <c r="C1058" t="str">
        <f>IFERROR(VLOOKUP(Таб[[#This Row],[Зелений Тариф ЕЦ]],Sheet6!$H$9:$I$29,2,FALSE),"")</f>
        <v>Земля</v>
      </c>
      <c r="D1058" s="135" t="s">
        <v>3362</v>
      </c>
      <c r="E1058" s="135"/>
      <c r="F1058" s="135" t="s">
        <v>3287</v>
      </c>
      <c r="G1058" s="1" t="s">
        <v>2513</v>
      </c>
      <c r="H1058" t="s">
        <v>82</v>
      </c>
      <c r="J1058" s="7">
        <v>13.29</v>
      </c>
      <c r="K1058" s="8">
        <v>43812</v>
      </c>
      <c r="L1058" s="8">
        <v>43854</v>
      </c>
      <c r="M1058">
        <v>1</v>
      </c>
      <c r="N1058" s="49" t="s">
        <v>67</v>
      </c>
      <c r="O1058">
        <v>2020</v>
      </c>
      <c r="P1058">
        <v>0.15029999999999999</v>
      </c>
      <c r="Q1058" s="10"/>
      <c r="R1058" s="11">
        <f>ROUND(Таб[[#This Row],[Зелений Тариф ЕЦ]]+Таб[[#This Row],[Зелений Тариф ЕЦ]]*Таб[[#This Row],[% надбавки]],4)</f>
        <v>0.15029999999999999</v>
      </c>
      <c r="S1058" s="12"/>
      <c r="T1058"/>
      <c r="BD10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427.94962835785668</v>
      </c>
      <c r="BE10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737.93073746164134</v>
      </c>
      <c r="BF10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1244.9443734046738</v>
      </c>
      <c r="BG10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1769.5277888110786</v>
      </c>
      <c r="BH10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2178.652653458179</v>
      </c>
      <c r="BI10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2258.9716452907392</v>
      </c>
      <c r="BJ10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2295.3661884648673</v>
      </c>
      <c r="BK10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1984.1300951136986</v>
      </c>
      <c r="BL10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1393.0325145959557</v>
      </c>
      <c r="BM10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894.80376838460916</v>
      </c>
      <c r="BN10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414.14480163663552</v>
      </c>
      <c r="BO10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350.14060502006447</v>
      </c>
      <c r="BP1058">
        <f>SUM(Таб[[#This Row],[1]:[12]])</f>
        <v>15949.594799999999</v>
      </c>
    </row>
    <row r="1059" spans="2:68" ht="63.75">
      <c r="B1059" t="s">
        <v>384</v>
      </c>
      <c r="C1059" t="str">
        <f>IFERROR(VLOOKUP(Таб[[#This Row],[Зелений Тариф ЕЦ]],Sheet6!$H$9:$I$29,2,FALSE),"")</f>
        <v>Земля</v>
      </c>
      <c r="G1059" s="1" t="s">
        <v>2515</v>
      </c>
      <c r="H1059" t="s">
        <v>65</v>
      </c>
      <c r="J1059" s="7">
        <v>5.0940000000000003</v>
      </c>
      <c r="K1059" s="8">
        <v>43825</v>
      </c>
      <c r="L1059" s="8">
        <v>43854</v>
      </c>
      <c r="M1059">
        <v>1</v>
      </c>
      <c r="N1059" s="49" t="s">
        <v>67</v>
      </c>
      <c r="O1059">
        <v>2020</v>
      </c>
      <c r="P1059">
        <v>0.15029999999999999</v>
      </c>
      <c r="Q1059" s="10"/>
      <c r="R1059" s="11">
        <f>ROUND(Таб[[#This Row],[Зелений Тариф ЕЦ]]+Таб[[#This Row],[Зелений Тариф ЕЦ]]*Таб[[#This Row],[% надбавки]],4)</f>
        <v>0.15029999999999999</v>
      </c>
      <c r="S1059" s="12"/>
      <c r="T1059"/>
      <c r="BD10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164.03125709969316</v>
      </c>
      <c r="BE10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282.84568672908961</v>
      </c>
      <c r="BF10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477.1818388354709</v>
      </c>
      <c r="BG10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678.25241205444968</v>
      </c>
      <c r="BH10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835.06821796207419</v>
      </c>
      <c r="BI10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865.8541430482336</v>
      </c>
      <c r="BJ10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879.80401535289946</v>
      </c>
      <c r="BK10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760.50855564403173</v>
      </c>
      <c r="BL10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533.94338821307747</v>
      </c>
      <c r="BM10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342.97444666299469</v>
      </c>
      <c r="BN10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158.73992622550952</v>
      </c>
      <c r="BO10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134.2073921724762</v>
      </c>
      <c r="BP1059">
        <f>SUM(Таб[[#This Row],[1]:[12]])</f>
        <v>6113.4112799999994</v>
      </c>
    </row>
    <row r="1060" spans="2:68" ht="63.75">
      <c r="B1060" t="s">
        <v>384</v>
      </c>
      <c r="C1060" t="str">
        <f>IFERROR(VLOOKUP(Таб[[#This Row],[Зелений Тариф ЕЦ]],Sheet6!$H$9:$I$29,2,FALSE),"")</f>
        <v>Земля</v>
      </c>
      <c r="G1060" s="1" t="s">
        <v>2517</v>
      </c>
      <c r="H1060" t="s">
        <v>163</v>
      </c>
      <c r="J1060" s="7">
        <v>1.8759999999999999</v>
      </c>
      <c r="K1060" s="8">
        <v>43820</v>
      </c>
      <c r="L1060" s="8">
        <v>43854</v>
      </c>
      <c r="M1060">
        <v>1</v>
      </c>
      <c r="N1060" s="49" t="s">
        <v>67</v>
      </c>
      <c r="O1060">
        <v>2020</v>
      </c>
      <c r="P1060">
        <v>0.15029999999999999</v>
      </c>
      <c r="Q1060" s="10"/>
      <c r="R1060" s="11">
        <f>ROUND(Таб[[#This Row],[Зелений Тариф ЕЦ]]+Таб[[#This Row],[Зелений Тариф ЕЦ]]*Таб[[#This Row],[% надбавки]],4)</f>
        <v>0.15029999999999999</v>
      </c>
      <c r="S1060" s="12"/>
      <c r="T1060"/>
      <c r="BD10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60.408841444645532</v>
      </c>
      <c r="BE10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104.16539228578173</v>
      </c>
      <c r="BF10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175.73481147533244</v>
      </c>
      <c r="BG10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249.78435905263984</v>
      </c>
      <c r="BH10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307.53592008183176</v>
      </c>
      <c r="BI10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318.87364985443384</v>
      </c>
      <c r="BJ10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324.01105865764418</v>
      </c>
      <c r="BK10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280.07735578881108</v>
      </c>
      <c r="BL10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196.63875074356756</v>
      </c>
      <c r="BM10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126.30939574789517</v>
      </c>
      <c r="BN10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58.460169139979556</v>
      </c>
      <c r="BO10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49.425415727437247</v>
      </c>
      <c r="BP1060">
        <f>SUM(Таб[[#This Row],[1]:[12]])</f>
        <v>2251.4251199999994</v>
      </c>
    </row>
    <row r="1061" spans="2:68" ht="38.25">
      <c r="B1061" t="s">
        <v>384</v>
      </c>
      <c r="C1061" t="str">
        <f>IFERROR(VLOOKUP(Таб[[#This Row],[Зелений Тариф ЕЦ]],Sheet6!$H$9:$I$29,2,FALSE),"")</f>
        <v>Земля</v>
      </c>
      <c r="G1061" s="1" t="s">
        <v>2519</v>
      </c>
      <c r="H1061" t="s">
        <v>163</v>
      </c>
      <c r="J1061" s="7">
        <v>0.752</v>
      </c>
      <c r="K1061" s="8">
        <v>43809</v>
      </c>
      <c r="L1061" s="8">
        <v>43854</v>
      </c>
      <c r="M1061">
        <v>1</v>
      </c>
      <c r="N1061" s="49" t="s">
        <v>67</v>
      </c>
      <c r="O1061">
        <v>2020</v>
      </c>
      <c r="P1061">
        <v>0.15029999999999999</v>
      </c>
      <c r="Q1061" s="10"/>
      <c r="R1061" s="11">
        <f>ROUND(Таб[[#This Row],[Зелений Тариф ЕЦ]]+Таб[[#This Row],[Зелений Тариф ЕЦ]]*Таб[[#This Row],[% надбавки]],4)</f>
        <v>0.15029999999999999</v>
      </c>
      <c r="S1061" s="12"/>
      <c r="T1061"/>
      <c r="BD10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24.215057977811</v>
      </c>
      <c r="BE10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41.754997334172636</v>
      </c>
      <c r="BF10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70.443805026359271</v>
      </c>
      <c r="BG10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100.12677932174049</v>
      </c>
      <c r="BH10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123.27665879612873</v>
      </c>
      <c r="BI10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127.82142041073254</v>
      </c>
      <c r="BJ10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129.88076551734991</v>
      </c>
      <c r="BK10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112.26981426076009</v>
      </c>
      <c r="BL10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78.823209253285086</v>
      </c>
      <c r="BM10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50.631484862695729</v>
      </c>
      <c r="BN10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23.433927075300971</v>
      </c>
      <c r="BO10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19.812320163663546</v>
      </c>
      <c r="BP1061">
        <f>SUM(Таб[[#This Row],[1]:[12]])</f>
        <v>902.49023999999997</v>
      </c>
    </row>
    <row r="1062" spans="2:68" ht="38.25">
      <c r="B1062" t="s">
        <v>384</v>
      </c>
      <c r="C1062" t="str">
        <f>IFERROR(VLOOKUP(Таб[[#This Row],[Зелений Тариф ЕЦ]],Sheet6!$H$9:$I$29,2,FALSE),"")</f>
        <v>Земля</v>
      </c>
      <c r="G1062" s="1" t="s">
        <v>2521</v>
      </c>
      <c r="H1062" t="s">
        <v>98</v>
      </c>
      <c r="J1062" s="7">
        <v>2.1589999999999998</v>
      </c>
      <c r="K1062" s="8">
        <v>43802</v>
      </c>
      <c r="L1062" s="8">
        <v>43854</v>
      </c>
      <c r="M1062">
        <v>1</v>
      </c>
      <c r="N1062" s="49" t="s">
        <v>67</v>
      </c>
      <c r="O1062">
        <v>2020</v>
      </c>
      <c r="P1062">
        <v>0.15029999999999999</v>
      </c>
      <c r="Q1062" s="10"/>
      <c r="R1062" s="11">
        <f>ROUND(Таб[[#This Row],[Зелений Тариф ЕЦ]]+Таб[[#This Row],[Зелений Тариф ЕЦ]]*Таб[[#This Row],[% надбавки]],4)</f>
        <v>0.15029999999999999</v>
      </c>
      <c r="S1062" s="12"/>
      <c r="T1062"/>
      <c r="BD10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69.521689061295149</v>
      </c>
      <c r="BE10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119.87904154850892</v>
      </c>
      <c r="BF10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202.24491363285861</v>
      </c>
      <c r="BG10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287.46504861122037</v>
      </c>
      <c r="BH10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353.92859885750249</v>
      </c>
      <c r="BI10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366.97665780155791</v>
      </c>
      <c r="BJ10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372.88905951058302</v>
      </c>
      <c r="BK10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322.32783110236835</v>
      </c>
      <c r="BL10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226.30227231096075</v>
      </c>
      <c r="BM10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145.36353167361708</v>
      </c>
      <c r="BN10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67.279053930285627</v>
      </c>
      <c r="BO10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56.881381959241487</v>
      </c>
      <c r="BP1062">
        <f>SUM(Таб[[#This Row],[1]:[12]])</f>
        <v>2591.0590799999995</v>
      </c>
    </row>
    <row r="1063" spans="2:68" ht="63.75">
      <c r="B1063" t="s">
        <v>384</v>
      </c>
      <c r="C1063" t="str">
        <f>IFERROR(VLOOKUP(Таб[[#This Row],[Зелений Тариф ЕЦ]],Sheet6!$H$9:$I$29,2,FALSE),"")</f>
        <v>Земля</v>
      </c>
      <c r="G1063" s="1" t="s">
        <v>2523</v>
      </c>
      <c r="H1063" t="s">
        <v>163</v>
      </c>
      <c r="J1063" s="7">
        <v>0.995</v>
      </c>
      <c r="K1063" s="8">
        <v>43817</v>
      </c>
      <c r="L1063" s="8">
        <v>43854</v>
      </c>
      <c r="M1063">
        <v>1</v>
      </c>
      <c r="N1063" s="49" t="s">
        <v>67</v>
      </c>
      <c r="O1063">
        <v>2020</v>
      </c>
      <c r="P1063">
        <v>0.15029999999999999</v>
      </c>
      <c r="Q1063" s="10"/>
      <c r="R1063" s="11">
        <f>ROUND(Таб[[#This Row],[Зелений Тариф ЕЦ]]+Таб[[#This Row],[Зелений Тариф ЕЦ]]*Таб[[#This Row],[% надбавки]],4)</f>
        <v>0.15029999999999999</v>
      </c>
      <c r="S1063" s="12"/>
      <c r="T1063"/>
      <c r="BD10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32.039870595640892</v>
      </c>
      <c r="BE10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55.247636100401294</v>
      </c>
      <c r="BF10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93.206896278228029</v>
      </c>
      <c r="BG10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132.48157636320718</v>
      </c>
      <c r="BH10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163.11206848689903</v>
      </c>
      <c r="BI10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169.12541663388151</v>
      </c>
      <c r="BJ10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171.85021501298291</v>
      </c>
      <c r="BK10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148.54849094342592</v>
      </c>
      <c r="BL10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104.29400692422692</v>
      </c>
      <c r="BM10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66.992456699976401</v>
      </c>
      <c r="BN10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31.006326382878278</v>
      </c>
      <c r="BO10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26.214439578251636</v>
      </c>
      <c r="BP1063">
        <f>SUM(Таб[[#This Row],[1]:[12]])</f>
        <v>1194.1194</v>
      </c>
    </row>
    <row r="1064" spans="2:68" ht="38.25">
      <c r="B1064" t="s">
        <v>384</v>
      </c>
      <c r="C1064" t="str">
        <f>IFERROR(VLOOKUP(Таб[[#This Row],[Зелений Тариф ЕЦ]],Sheet6!$H$9:$I$29,2,FALSE),"")</f>
        <v>Земля</v>
      </c>
      <c r="G1064" s="1" t="s">
        <v>2525</v>
      </c>
      <c r="H1064" t="s">
        <v>198</v>
      </c>
      <c r="J1064" s="7">
        <v>0.76200000000000001</v>
      </c>
      <c r="K1064" s="8">
        <v>43812</v>
      </c>
      <c r="L1064" s="8">
        <v>43854</v>
      </c>
      <c r="M1064">
        <v>1</v>
      </c>
      <c r="N1064" s="49" t="s">
        <v>67</v>
      </c>
      <c r="O1064">
        <v>2020</v>
      </c>
      <c r="P1064">
        <v>0.15029999999999999</v>
      </c>
      <c r="Q1064" s="10"/>
      <c r="R1064" s="11">
        <f>ROUND(Таб[[#This Row],[Зелений Тариф ЕЦ]]+Таб[[#This Row],[Зелений Тариф ЕЦ]]*Таб[[#This Row],[% надбавки]],4)</f>
        <v>0.15029999999999999</v>
      </c>
      <c r="S1064" s="12"/>
      <c r="T1064"/>
      <c r="BD10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24.537066727515942</v>
      </c>
      <c r="BE10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42.31024995829727</v>
      </c>
      <c r="BF10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71.380557752773626</v>
      </c>
      <c r="BG10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101.45825245101895</v>
      </c>
      <c r="BH10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124.91597606735384</v>
      </c>
      <c r="BI10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129.52117334172635</v>
      </c>
      <c r="BJ10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131.60790335667639</v>
      </c>
      <c r="BK10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113.76276391848297</v>
      </c>
      <c r="BL10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79.87139022739791</v>
      </c>
      <c r="BM10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51.304775884806034</v>
      </c>
      <c r="BN10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23.745548445983168</v>
      </c>
      <c r="BO10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20.075781867967581</v>
      </c>
      <c r="BP1064">
        <f>SUM(Таб[[#This Row],[1]:[12]])</f>
        <v>914.49144000000024</v>
      </c>
    </row>
    <row r="1065" spans="2:68" ht="102">
      <c r="B1065" t="s">
        <v>384</v>
      </c>
      <c r="C1065" t="str">
        <f>IFERROR(VLOOKUP(Таб[[#This Row],[Зелений Тариф ЕЦ]],Sheet6!$H$9:$I$29,2,FALSE),"")</f>
        <v>Дах</v>
      </c>
      <c r="G1065" s="1" t="s">
        <v>2527</v>
      </c>
      <c r="H1065" t="s">
        <v>65</v>
      </c>
      <c r="J1065" s="7">
        <v>0.308</v>
      </c>
      <c r="K1065" s="8">
        <v>43804</v>
      </c>
      <c r="L1065" s="8">
        <v>43854</v>
      </c>
      <c r="M1065">
        <v>1</v>
      </c>
      <c r="N1065" s="49" t="s">
        <v>67</v>
      </c>
      <c r="O1065">
        <v>2020</v>
      </c>
      <c r="P1065">
        <v>0.16370000000000001</v>
      </c>
      <c r="Q1065" s="10"/>
      <c r="R1065" s="11">
        <f>ROUND(Таб[[#This Row],[Зелений Тариф ЕЦ]]+Таб[[#This Row],[Зелений Тариф ЕЦ]]*Таб[[#This Row],[% надбавки]],4)</f>
        <v>0.16370000000000001</v>
      </c>
      <c r="S1065" s="12"/>
      <c r="T1065"/>
      <c r="BD10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9.9178694909119542</v>
      </c>
      <c r="BE10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17.101780823038791</v>
      </c>
      <c r="BF10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28.851983973562042</v>
      </c>
      <c r="BG10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41.009372381776693</v>
      </c>
      <c r="BH10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50.490971953733577</v>
      </c>
      <c r="BI10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52.352390274608545</v>
      </c>
      <c r="BJ10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53.195845451255018</v>
      </c>
      <c r="BK10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45.982849457864504</v>
      </c>
      <c r="BL10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32.283974002675265</v>
      </c>
      <c r="BM10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20.737363480997715</v>
      </c>
      <c r="BN10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9.5979382170115688</v>
      </c>
      <c r="BO10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8.1146204925643239</v>
      </c>
      <c r="BP1065">
        <f>SUM(Таб[[#This Row],[1]:[12]])</f>
        <v>369.63696000000004</v>
      </c>
    </row>
    <row r="1066" spans="2:68" ht="25.5">
      <c r="B1066" t="s">
        <v>384</v>
      </c>
      <c r="C1066" t="str">
        <f>IFERROR(VLOOKUP(Таб[[#This Row],[Зелений Тариф ЕЦ]],Sheet6!$H$9:$I$29,2,FALSE),"")</f>
        <v>Дах</v>
      </c>
      <c r="G1066" s="1" t="s">
        <v>2529</v>
      </c>
      <c r="H1066" t="s">
        <v>198</v>
      </c>
      <c r="J1066" s="7">
        <v>0.65300000000000002</v>
      </c>
      <c r="K1066" s="8">
        <v>43817</v>
      </c>
      <c r="L1066" s="8">
        <v>43854</v>
      </c>
      <c r="M1066">
        <v>1</v>
      </c>
      <c r="N1066" s="49" t="s">
        <v>67</v>
      </c>
      <c r="O1066">
        <v>2020</v>
      </c>
      <c r="P1066">
        <v>0.16370000000000001</v>
      </c>
      <c r="Q1066" s="10"/>
      <c r="R1066" s="11">
        <f>ROUND(Таб[[#This Row],[Зелений Тариф ЕЦ]]+Таб[[#This Row],[Зелений Тариф ЕЦ]]*Таб[[#This Row],[% надбавки]],4)</f>
        <v>0.16370000000000001</v>
      </c>
      <c r="S1066" s="12"/>
      <c r="T1066"/>
      <c r="BD10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21.027171355732161</v>
      </c>
      <c r="BE10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36.25799635533874</v>
      </c>
      <c r="BF10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61.169953034857187</v>
      </c>
      <c r="BG10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86.945195341883704</v>
      </c>
      <c r="BH10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107.04741781100009</v>
      </c>
      <c r="BI10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110.99386639389411</v>
      </c>
      <c r="BJ10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112.78210090801795</v>
      </c>
      <c r="BK10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97.489612649303638</v>
      </c>
      <c r="BL10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68.446217609568023</v>
      </c>
      <c r="BM10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43.965903743803601</v>
      </c>
      <c r="BN10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20.348875505547252</v>
      </c>
      <c r="BO10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17.204049291053586</v>
      </c>
      <c r="BP1066">
        <f>SUM(Таб[[#This Row],[1]:[12]])</f>
        <v>783.67836</v>
      </c>
    </row>
    <row r="1067" spans="2:68" ht="25.5">
      <c r="B1067" t="s">
        <v>384</v>
      </c>
      <c r="C1067" t="str">
        <f>IFERROR(VLOOKUP(Таб[[#This Row],[Зелений Тариф ЕЦ]],Sheet6!$H$9:$I$29,2,FALSE),"")</f>
        <v>Дах</v>
      </c>
      <c r="G1067" s="1" t="s">
        <v>2529</v>
      </c>
      <c r="H1067" t="s">
        <v>198</v>
      </c>
      <c r="J1067" s="7">
        <v>0.128</v>
      </c>
      <c r="K1067" s="8">
        <v>43817</v>
      </c>
      <c r="L1067" s="8">
        <v>43854</v>
      </c>
      <c r="M1067">
        <v>1</v>
      </c>
      <c r="N1067" s="49" t="s">
        <v>67</v>
      </c>
      <c r="O1067">
        <v>2020</v>
      </c>
      <c r="P1067">
        <v>0.16370000000000001</v>
      </c>
      <c r="Q1067" s="10"/>
      <c r="R1067" s="11">
        <f>ROUND(Таб[[#This Row],[Зелений Тариф ЕЦ]]+Таб[[#This Row],[Зелений Тариф ЕЦ]]*Таб[[#This Row],[% надбавки]],4)</f>
        <v>0.16370000000000001</v>
      </c>
      <c r="S1067" s="12"/>
      <c r="T1067"/>
      <c r="BD10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4.1217119962231497</v>
      </c>
      <c r="BE10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7.1072335887953422</v>
      </c>
      <c r="BF10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11.990434898103706</v>
      </c>
      <c r="BG10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17.042856054764343</v>
      </c>
      <c r="BH10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20.983261071681483</v>
      </c>
      <c r="BI10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21.756837516720438</v>
      </c>
      <c r="BJ10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22.107364343378705</v>
      </c>
      <c r="BK10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19.109755618852784</v>
      </c>
      <c r="BL10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13.416716468644271</v>
      </c>
      <c r="BM10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8.6181250830120391</v>
      </c>
      <c r="BN10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3.9887535447320808</v>
      </c>
      <c r="BO10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3.3723098150916671</v>
      </c>
      <c r="BP1067">
        <f>SUM(Таб[[#This Row],[1]:[12]])</f>
        <v>153.61536000000001</v>
      </c>
    </row>
    <row r="1068" spans="2:68" ht="51">
      <c r="B1068" t="s">
        <v>384</v>
      </c>
      <c r="C1068" t="str">
        <f>IFERROR(VLOOKUP(Таб[[#This Row],[Зелений Тариф ЕЦ]],Sheet6!$H$9:$I$29,2,FALSE),"")</f>
        <v>Дах</v>
      </c>
      <c r="G1068" s="1" t="s">
        <v>2532</v>
      </c>
      <c r="H1068" t="s">
        <v>107</v>
      </c>
      <c r="J1068" s="7">
        <v>0.25</v>
      </c>
      <c r="K1068" s="8">
        <v>43804</v>
      </c>
      <c r="L1068" s="8">
        <v>43854</v>
      </c>
      <c r="M1068">
        <v>1</v>
      </c>
      <c r="N1068" s="49" t="s">
        <v>67</v>
      </c>
      <c r="O1068">
        <v>2020</v>
      </c>
      <c r="P1068">
        <v>0.16370000000000001</v>
      </c>
      <c r="Q1068" s="10"/>
      <c r="R1068" s="11">
        <f>ROUND(Таб[[#This Row],[Зелений Тариф ЕЦ]]+Таб[[#This Row],[Зелений Тариф ЕЦ]]*Таб[[#This Row],[% надбавки]],4)</f>
        <v>0.16370000000000001</v>
      </c>
      <c r="S1068" s="12"/>
      <c r="T1068"/>
      <c r="BD10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8.0502187426233398</v>
      </c>
      <c r="BE10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13.881315603115901</v>
      </c>
      <c r="BF10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23.4188181603588</v>
      </c>
      <c r="BG10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33.286828231961607</v>
      </c>
      <c r="BH10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40.982931780627901</v>
      </c>
      <c r="BI10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42.493823274844601</v>
      </c>
      <c r="BJ10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43.178445983161538</v>
      </c>
      <c r="BK10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37.323741443071839</v>
      </c>
      <c r="BL10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26.20452435282084</v>
      </c>
      <c r="BM10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16.832275552757885</v>
      </c>
      <c r="BN10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7.7905342670548432</v>
      </c>
      <c r="BO10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6.5865426076009133</v>
      </c>
      <c r="BP1068">
        <f>SUM(Таб[[#This Row],[1]:[12]])</f>
        <v>300.03000000000003</v>
      </c>
    </row>
    <row r="1069" spans="2:68" ht="38.25">
      <c r="B1069" t="s">
        <v>384</v>
      </c>
      <c r="C1069" t="str">
        <f>IFERROR(VLOOKUP(Таб[[#This Row],[Зелений Тариф ЕЦ]],Sheet6!$H$9:$I$29,2,FALSE),"")</f>
        <v>Дах</v>
      </c>
      <c r="G1069" s="1" t="s">
        <v>2534</v>
      </c>
      <c r="H1069" t="s">
        <v>198</v>
      </c>
      <c r="J1069" s="7">
        <v>0.43</v>
      </c>
      <c r="K1069" s="8">
        <v>43823</v>
      </c>
      <c r="L1069" s="8">
        <v>43854</v>
      </c>
      <c r="M1069">
        <v>1</v>
      </c>
      <c r="N1069" s="49" t="s">
        <v>67</v>
      </c>
      <c r="O1069">
        <v>2020</v>
      </c>
      <c r="P1069">
        <v>0.16370000000000001</v>
      </c>
      <c r="Q1069" s="10"/>
      <c r="R1069" s="11">
        <f>ROUND(Таб[[#This Row],[Зелений Тариф ЕЦ]]+Таб[[#This Row],[Зелений Тариф ЕЦ]]*Таб[[#This Row],[% надбавки]],4)</f>
        <v>0.16370000000000001</v>
      </c>
      <c r="S1069" s="12"/>
      <c r="T1069"/>
      <c r="BD10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13.846376237312144</v>
      </c>
      <c r="BE10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23.875862837359353</v>
      </c>
      <c r="BF10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40.280367235817138</v>
      </c>
      <c r="BG10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57.253344558973964</v>
      </c>
      <c r="BH10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70.490642662679988</v>
      </c>
      <c r="BI10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73.089376032732702</v>
      </c>
      <c r="BJ10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74.266927091037843</v>
      </c>
      <c r="BK10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64.196835282083569</v>
      </c>
      <c r="BL10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45.071781886851838</v>
      </c>
      <c r="BM10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28.951513950743568</v>
      </c>
      <c r="BN10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13.399718939334335</v>
      </c>
      <c r="BO10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11.328853285073571</v>
      </c>
      <c r="BP1069">
        <f>SUM(Таб[[#This Row],[1]:[12]])</f>
        <v>516.05160000000001</v>
      </c>
    </row>
    <row r="1070" spans="2:68" ht="38.25">
      <c r="B1070" t="s">
        <v>384</v>
      </c>
      <c r="C1070" t="str">
        <f>IFERROR(VLOOKUP(Таб[[#This Row],[Зелений Тариф ЕЦ]],Sheet6!$H$9:$I$29,2,FALSE),"")</f>
        <v>Дах</v>
      </c>
      <c r="G1070" s="1" t="s">
        <v>2536</v>
      </c>
      <c r="H1070" t="s">
        <v>122</v>
      </c>
      <c r="J1070" s="7">
        <v>0.222</v>
      </c>
      <c r="K1070" s="8">
        <v>43817</v>
      </c>
      <c r="L1070" s="8">
        <v>43854</v>
      </c>
      <c r="M1070">
        <v>1</v>
      </c>
      <c r="N1070" s="49" t="s">
        <v>67</v>
      </c>
      <c r="O1070">
        <v>2020</v>
      </c>
      <c r="P1070">
        <v>0.16370000000000001</v>
      </c>
      <c r="Q1070" s="10"/>
      <c r="R1070" s="11">
        <f>ROUND(Таб[[#This Row],[Зелений Тариф ЕЦ]]+Таб[[#This Row],[Зелений Тариф ЕЦ]]*Таб[[#This Row],[% надбавки]],4)</f>
        <v>0.16370000000000001</v>
      </c>
      <c r="S1070" s="12"/>
      <c r="T1070"/>
      <c r="BD10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7.1485942434495247</v>
      </c>
      <c r="BE10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12.326608255566921</v>
      </c>
      <c r="BF10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20.795910526398615</v>
      </c>
      <c r="BG10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29.5587034699819</v>
      </c>
      <c r="BH10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36.392843421197576</v>
      </c>
      <c r="BI10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37.734515068062009</v>
      </c>
      <c r="BJ10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38.342460033047445</v>
      </c>
      <c r="BK10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33.143482401447798</v>
      </c>
      <c r="BL10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23.269617625304907</v>
      </c>
      <c r="BM10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14.947060690849003</v>
      </c>
      <c r="BN10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6.9179944291447022</v>
      </c>
      <c r="BO10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5.8488498355496104</v>
      </c>
      <c r="BP1070">
        <f>SUM(Таб[[#This Row],[1]:[12]])</f>
        <v>266.42664000000008</v>
      </c>
    </row>
    <row r="1071" spans="2:68" ht="38.25">
      <c r="B1071" t="s">
        <v>384</v>
      </c>
      <c r="C1071" t="str">
        <f>IFERROR(VLOOKUP(Таб[[#This Row],[Зелений Тариф ЕЦ]],Sheet6!$H$9:$I$29,2,FALSE),"")</f>
        <v>Дах</v>
      </c>
      <c r="G1071" s="1" t="s">
        <v>2491</v>
      </c>
      <c r="H1071" t="s">
        <v>98</v>
      </c>
      <c r="J1071" s="7">
        <v>0.128</v>
      </c>
      <c r="K1071" s="8">
        <v>43822</v>
      </c>
      <c r="L1071" s="8">
        <v>43854</v>
      </c>
      <c r="M1071">
        <v>1</v>
      </c>
      <c r="N1071" s="49" t="s">
        <v>67</v>
      </c>
      <c r="O1071">
        <v>2020</v>
      </c>
      <c r="P1071">
        <v>0.16370000000000001</v>
      </c>
      <c r="Q1071" s="10"/>
      <c r="R1071" s="11">
        <f>ROUND(Таб[[#This Row],[Зелений Тариф ЕЦ]]+Таб[[#This Row],[Зелений Тариф ЕЦ]]*Таб[[#This Row],[% надбавки]],4)</f>
        <v>0.16370000000000001</v>
      </c>
      <c r="S1071" s="12"/>
      <c r="T1071"/>
      <c r="BD10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4.1217119962231497</v>
      </c>
      <c r="BE10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7.1072335887953422</v>
      </c>
      <c r="BF10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11.990434898103706</v>
      </c>
      <c r="BG10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17.042856054764343</v>
      </c>
      <c r="BH10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20.983261071681483</v>
      </c>
      <c r="BI10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21.756837516720438</v>
      </c>
      <c r="BJ10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22.107364343378705</v>
      </c>
      <c r="BK10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19.109755618852784</v>
      </c>
      <c r="BL10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13.416716468644271</v>
      </c>
      <c r="BM10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8.6181250830120391</v>
      </c>
      <c r="BN10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3.9887535447320808</v>
      </c>
      <c r="BO10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3.3723098150916671</v>
      </c>
      <c r="BP1071">
        <f>SUM(Таб[[#This Row],[1]:[12]])</f>
        <v>153.61536000000001</v>
      </c>
    </row>
    <row r="1072" spans="2:68" ht="51">
      <c r="B1072" t="s">
        <v>384</v>
      </c>
      <c r="C1072" t="str">
        <f>IFERROR(VLOOKUP(Таб[[#This Row],[Зелений Тариф ЕЦ]],Sheet6!$H$9:$I$29,2,FALSE),"")</f>
        <v>Дах</v>
      </c>
      <c r="G1072" s="1" t="s">
        <v>2539</v>
      </c>
      <c r="H1072" t="s">
        <v>136</v>
      </c>
      <c r="J1072" s="7">
        <v>1.361</v>
      </c>
      <c r="K1072" s="8">
        <v>43801</v>
      </c>
      <c r="L1072" s="8">
        <v>43854</v>
      </c>
      <c r="M1072">
        <v>1</v>
      </c>
      <c r="N1072" s="49" t="s">
        <v>67</v>
      </c>
      <c r="O1072">
        <v>2020</v>
      </c>
      <c r="P1072">
        <v>0.16370000000000001</v>
      </c>
      <c r="Q1072" s="10"/>
      <c r="R1072" s="11">
        <f>ROUND(Таб[[#This Row],[Зелений Тариф ЕЦ]]+Таб[[#This Row],[Зелений Тариф ЕЦ]]*Таб[[#This Row],[% надбавки]],4)</f>
        <v>0.16370000000000001</v>
      </c>
      <c r="S1072" s="12"/>
      <c r="T1072"/>
      <c r="BD10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43.825390834841457</v>
      </c>
      <c r="BE10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75.569882143362975</v>
      </c>
      <c r="BF10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127.4920460649933</v>
      </c>
      <c r="BG10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181.21349289479895</v>
      </c>
      <c r="BH10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223.1110806137383</v>
      </c>
      <c r="BI10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231.33637390825396</v>
      </c>
      <c r="BJ10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235.0634599323314</v>
      </c>
      <c r="BK10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203.19044841608309</v>
      </c>
      <c r="BL10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142.65743057675667</v>
      </c>
      <c r="BM10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91.634908109213939</v>
      </c>
      <c r="BN10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42.411668549846574</v>
      </c>
      <c r="BO10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35.857137955779372</v>
      </c>
      <c r="BP1072">
        <f>SUM(Таб[[#This Row],[1]:[12]])</f>
        <v>1633.3633199999999</v>
      </c>
    </row>
    <row r="1073" spans="2:68" ht="63.75">
      <c r="B1073" t="s">
        <v>384</v>
      </c>
      <c r="C1073" t="str">
        <f>IFERROR(VLOOKUP(Таб[[#This Row],[Зелений Тариф ЕЦ]],Sheet6!$H$9:$I$29,2,FALSE),"")</f>
        <v>Земля</v>
      </c>
      <c r="D1073" t="s">
        <v>3423</v>
      </c>
      <c r="F1073" s="135" t="s">
        <v>3287</v>
      </c>
      <c r="G1073" s="1" t="s">
        <v>2541</v>
      </c>
      <c r="H1073" t="s">
        <v>136</v>
      </c>
      <c r="J1073" s="7">
        <v>19.899999999999999</v>
      </c>
      <c r="K1073" s="8">
        <v>43818</v>
      </c>
      <c r="L1073" s="8">
        <v>43858</v>
      </c>
      <c r="M1073">
        <v>1</v>
      </c>
      <c r="N1073" s="49" t="s">
        <v>67</v>
      </c>
      <c r="O1073">
        <v>2020</v>
      </c>
      <c r="P1073">
        <v>0.15029999999999999</v>
      </c>
      <c r="Q1073" s="10"/>
      <c r="R1073" s="11">
        <f>ROUND(Таб[[#This Row],[Зелений Тариф ЕЦ]]+Таб[[#This Row],[Зелений Тариф ЕЦ]]*Таб[[#This Row],[% надбавки]],4)</f>
        <v>0.15029999999999999</v>
      </c>
      <c r="S1073" s="12"/>
      <c r="T1073"/>
      <c r="BD10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640.79741191281778</v>
      </c>
      <c r="BE10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1104.9527220080258</v>
      </c>
      <c r="BF10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1864.1379255645602</v>
      </c>
      <c r="BG10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2649.6315272641432</v>
      </c>
      <c r="BH10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3262.2413697379811</v>
      </c>
      <c r="BI10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3382.5083326776294</v>
      </c>
      <c r="BJ10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3437.0043002596576</v>
      </c>
      <c r="BK10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2970.9698188685184</v>
      </c>
      <c r="BL10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2085.8801384845383</v>
      </c>
      <c r="BM10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1339.8491339995278</v>
      </c>
      <c r="BN10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620.12652765756548</v>
      </c>
      <c r="BO10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524.28879156503262</v>
      </c>
      <c r="BP1073">
        <f>SUM(Таб[[#This Row],[1]:[12]])</f>
        <v>23882.387999999995</v>
      </c>
    </row>
    <row r="1074" spans="2:68" ht="38.25">
      <c r="B1074" t="s">
        <v>384</v>
      </c>
      <c r="C1074" t="str">
        <f>IFERROR(VLOOKUP(Таб[[#This Row],[Зелений Тариф ЕЦ]],Sheet6!$H$9:$I$29,2,FALSE),"")</f>
        <v>Земля</v>
      </c>
      <c r="G1074" s="1" t="s">
        <v>2543</v>
      </c>
      <c r="H1074" t="s">
        <v>141</v>
      </c>
      <c r="J1074" s="7">
        <v>2.254</v>
      </c>
      <c r="K1074" s="8">
        <v>43811</v>
      </c>
      <c r="L1074" s="8">
        <v>43861</v>
      </c>
      <c r="M1074">
        <v>1</v>
      </c>
      <c r="N1074" s="49" t="s">
        <v>67</v>
      </c>
      <c r="O1074">
        <v>2020</v>
      </c>
      <c r="P1074">
        <v>0.15029999999999999</v>
      </c>
      <c r="Q1074" s="10"/>
      <c r="R1074" s="11">
        <f>ROUND(Таб[[#This Row],[Зелений Тариф ЕЦ]]+Таб[[#This Row],[Зелений Тариф ЕЦ]]*Таб[[#This Row],[% надбавки]],4)</f>
        <v>0.15029999999999999</v>
      </c>
      <c r="S1074" s="12"/>
      <c r="T1074"/>
      <c r="BD10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72.58077218349203</v>
      </c>
      <c r="BE10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125.15394147769297</v>
      </c>
      <c r="BF10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211.14406453379496</v>
      </c>
      <c r="BG10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300.11404333936582</v>
      </c>
      <c r="BH10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369.50211293414111</v>
      </c>
      <c r="BI10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383.12431064599895</v>
      </c>
      <c r="BJ10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389.29686898418436</v>
      </c>
      <c r="BK10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336.51085285073577</v>
      </c>
      <c r="BL10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236.25999156503266</v>
      </c>
      <c r="BM10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151.7597963836651</v>
      </c>
      <c r="BN10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70.239456951766471</v>
      </c>
      <c r="BO10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59.384268150129842</v>
      </c>
      <c r="BP1074">
        <f>SUM(Таб[[#This Row],[1]:[12]])</f>
        <v>2705.0704799999999</v>
      </c>
    </row>
    <row r="1075" spans="2:68" ht="63.75">
      <c r="B1075" t="s">
        <v>384</v>
      </c>
      <c r="C1075" t="str">
        <f>IFERROR(VLOOKUP(Таб[[#This Row],[Зелений Тариф ЕЦ]],Sheet6!$H$9:$I$29,2,FALSE),"")</f>
        <v>Дах</v>
      </c>
      <c r="G1075" s="1" t="s">
        <v>2546</v>
      </c>
      <c r="H1075" t="s">
        <v>85</v>
      </c>
      <c r="J1075" s="7">
        <v>0.999</v>
      </c>
      <c r="K1075" s="8">
        <v>43825</v>
      </c>
      <c r="L1075" s="8">
        <v>43861</v>
      </c>
      <c r="M1075">
        <v>1</v>
      </c>
      <c r="N1075" s="49" t="s">
        <v>67</v>
      </c>
      <c r="O1075">
        <v>2020</v>
      </c>
      <c r="P1075">
        <v>0.16370000000000001</v>
      </c>
      <c r="Q1075" s="10"/>
      <c r="R1075" s="11">
        <f>ROUND(Таб[[#This Row],[Зелений Тариф ЕЦ]]+Таб[[#This Row],[Зелений Тариф ЕЦ]]*Таб[[#This Row],[% надбавки]],4)</f>
        <v>0.16370000000000001</v>
      </c>
      <c r="S1075" s="12"/>
      <c r="T1075"/>
      <c r="BD10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32.16867409552286</v>
      </c>
      <c r="BE10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55.469737150051138</v>
      </c>
      <c r="BF10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93.581597368793766</v>
      </c>
      <c r="BG10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133.01416561491857</v>
      </c>
      <c r="BH10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163.7677953953891</v>
      </c>
      <c r="BI10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169.80531780627902</v>
      </c>
      <c r="BJ10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172.54107014871352</v>
      </c>
      <c r="BK10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149.14567080651506</v>
      </c>
      <c r="BL10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104.71327931387208</v>
      </c>
      <c r="BM10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67.26177310882052</v>
      </c>
      <c r="BN10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31.130974931151155</v>
      </c>
      <c r="BO10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26.319824259973245</v>
      </c>
      <c r="BP1075">
        <f>SUM(Таб[[#This Row],[1]:[12]])</f>
        <v>1198.9198800000001</v>
      </c>
    </row>
    <row r="1076" spans="2:68" ht="63.75">
      <c r="B1076" t="s">
        <v>384</v>
      </c>
      <c r="C1076" t="str">
        <f>IFERROR(VLOOKUP(Таб[[#This Row],[Зелений Тариф ЕЦ]],Sheet6!$H$9:$I$29,2,FALSE),"")</f>
        <v>Дах</v>
      </c>
      <c r="G1076" s="1" t="s">
        <v>2546</v>
      </c>
      <c r="H1076" t="s">
        <v>85</v>
      </c>
      <c r="J1076" s="7">
        <v>0.79900000000000004</v>
      </c>
      <c r="K1076" s="8">
        <v>43825</v>
      </c>
      <c r="L1076" s="8">
        <v>43861</v>
      </c>
      <c r="M1076">
        <v>1</v>
      </c>
      <c r="N1076" s="49" t="s">
        <v>67</v>
      </c>
      <c r="O1076">
        <v>2020</v>
      </c>
      <c r="P1076">
        <v>0.16370000000000001</v>
      </c>
      <c r="Q1076" s="10"/>
      <c r="R1076" s="11">
        <f>ROUND(Таб[[#This Row],[Зелений Тариф ЕЦ]]+Таб[[#This Row],[Зелений Тариф ЕЦ]]*Таб[[#This Row],[% надбавки]],4)</f>
        <v>0.16370000000000001</v>
      </c>
      <c r="S1076" s="12"/>
      <c r="T1076"/>
      <c r="BD10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25.728499101424198</v>
      </c>
      <c r="BE10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44.364684667558421</v>
      </c>
      <c r="BF10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74.846542840506729</v>
      </c>
      <c r="BG10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106.38470302934928</v>
      </c>
      <c r="BH10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130.98144997088679</v>
      </c>
      <c r="BI10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135.81025918640336</v>
      </c>
      <c r="BJ10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137.99831336218429</v>
      </c>
      <c r="BK10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119.28667765205762</v>
      </c>
      <c r="BL10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83.749659831615389</v>
      </c>
      <c r="BM10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53.795952666614212</v>
      </c>
      <c r="BN10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24.898547517507282</v>
      </c>
      <c r="BO10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21.05059017389252</v>
      </c>
      <c r="BP1076">
        <f>SUM(Таб[[#This Row],[1]:[12]])</f>
        <v>958.89588000000003</v>
      </c>
    </row>
    <row r="1077" spans="2:68" ht="51">
      <c r="B1077" t="s">
        <v>384</v>
      </c>
      <c r="C1077" t="str">
        <f>IFERROR(VLOOKUP(Таб[[#This Row],[Зелений Тариф ЕЦ]],Sheet6!$H$9:$I$29,2,FALSE),"")</f>
        <v>Дах</v>
      </c>
      <c r="G1077" s="1" t="s">
        <v>2549</v>
      </c>
      <c r="H1077" t="s">
        <v>98</v>
      </c>
      <c r="J1077" s="7">
        <v>0.747</v>
      </c>
      <c r="K1077" s="8">
        <v>43825</v>
      </c>
      <c r="L1077" s="8">
        <v>43861</v>
      </c>
      <c r="M1077">
        <v>1</v>
      </c>
      <c r="N1077" s="49" t="s">
        <v>67</v>
      </c>
      <c r="O1077">
        <v>2020</v>
      </c>
      <c r="P1077">
        <v>0.16370000000000001</v>
      </c>
      <c r="Q1077" s="10"/>
      <c r="R1077" s="11">
        <f>ROUND(Таб[[#This Row],[Зелений Тариф ЕЦ]]+Таб[[#This Row],[Зелений Тариф ЕЦ]]*Таб[[#This Row],[% надбавки]],4)</f>
        <v>0.16370000000000001</v>
      </c>
      <c r="S1077" s="12"/>
      <c r="T1077"/>
      <c r="BD10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24.05405360295854</v>
      </c>
      <c r="BE10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41.477371022110319</v>
      </c>
      <c r="BF10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69.975428663152087</v>
      </c>
      <c r="BG10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99.461042757101268</v>
      </c>
      <c r="BH10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122.45700016051617</v>
      </c>
      <c r="BI10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126.97154394523568</v>
      </c>
      <c r="BJ10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129.01719659768668</v>
      </c>
      <c r="BK10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111.52333943189866</v>
      </c>
      <c r="BL10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78.299118766228659</v>
      </c>
      <c r="BM10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50.294839351640562</v>
      </c>
      <c r="BN10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23.278116389959877</v>
      </c>
      <c r="BO10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19.680589311511525</v>
      </c>
      <c r="BP1077">
        <f>SUM(Таб[[#This Row],[1]:[12]])</f>
        <v>896.48964000000012</v>
      </c>
    </row>
    <row r="1078" spans="2:68" ht="38.25">
      <c r="B1078" t="s">
        <v>384</v>
      </c>
      <c r="C1078" t="str">
        <f>IFERROR(VLOOKUP(Таб[[#This Row],[Зелений Тариф ЕЦ]],Sheet6!$H$9:$I$29,2,FALSE),"")</f>
        <v>Дах</v>
      </c>
      <c r="G1078" s="1" t="s">
        <v>2551</v>
      </c>
      <c r="H1078" t="s">
        <v>233</v>
      </c>
      <c r="J1078" s="7">
        <v>0.17799999999999999</v>
      </c>
      <c r="K1078" s="8">
        <v>43817</v>
      </c>
      <c r="L1078" s="8">
        <v>43861</v>
      </c>
      <c r="M1078">
        <v>1</v>
      </c>
      <c r="N1078" s="49" t="s">
        <v>67</v>
      </c>
      <c r="O1078">
        <v>2020</v>
      </c>
      <c r="P1078">
        <v>0.16370000000000001</v>
      </c>
      <c r="Q1078" s="10"/>
      <c r="R1078" s="11">
        <f>ROUND(Таб[[#This Row],[Зелений Тариф ЕЦ]]+Таб[[#This Row],[Зелений Тариф ЕЦ]]*Таб[[#This Row],[% надбавки]],4)</f>
        <v>0.16370000000000001</v>
      </c>
      <c r="S1078" s="12"/>
      <c r="T1078"/>
      <c r="BD10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5.7317557447478169</v>
      </c>
      <c r="BE10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9.8834967094185213</v>
      </c>
      <c r="BF10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16.674198530175467</v>
      </c>
      <c r="BG10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23.700221701156661</v>
      </c>
      <c r="BH10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29.179847427807069</v>
      </c>
      <c r="BI10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30.255602171689354</v>
      </c>
      <c r="BJ10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30.743053540011012</v>
      </c>
      <c r="BK10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26.574503907467147</v>
      </c>
      <c r="BL10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18.657621339208433</v>
      </c>
      <c r="BM10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11.984580193563614</v>
      </c>
      <c r="BN10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5.5468603981430489</v>
      </c>
      <c r="BO10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4.6896183366118489</v>
      </c>
      <c r="BP1078">
        <f>SUM(Таб[[#This Row],[1]:[12]])</f>
        <v>213.62136000000001</v>
      </c>
    </row>
    <row r="1079" spans="2:68" ht="38.25">
      <c r="B1079" t="s">
        <v>384</v>
      </c>
      <c r="C1079" t="str">
        <f>IFERROR(VLOOKUP(Таб[[#This Row],[Зелений Тариф ЕЦ]],Sheet6!$H$9:$I$29,2,FALSE),"")</f>
        <v>Дах</v>
      </c>
      <c r="G1079" s="1" t="s">
        <v>2553</v>
      </c>
      <c r="H1079" t="s">
        <v>122</v>
      </c>
      <c r="J1079" s="7">
        <v>0.56799999999999995</v>
      </c>
      <c r="K1079" s="8">
        <v>43823</v>
      </c>
      <c r="L1079" s="8">
        <v>43861</v>
      </c>
      <c r="M1079">
        <v>1</v>
      </c>
      <c r="N1079" s="49" t="s">
        <v>67</v>
      </c>
      <c r="O1079">
        <v>2020</v>
      </c>
      <c r="P1079">
        <v>0.16370000000000001</v>
      </c>
      <c r="Q1079" s="10"/>
      <c r="R1079" s="11">
        <f>ROUND(Таб[[#This Row],[Зелений Тариф ЕЦ]]+Таб[[#This Row],[Зелений Тариф ЕЦ]]*Таб[[#This Row],[% надбавки]],4)</f>
        <v>0.16370000000000001</v>
      </c>
      <c r="S1079" s="12"/>
      <c r="T1079"/>
      <c r="BD10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18.290096983240225</v>
      </c>
      <c r="BE10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31.538349050279329</v>
      </c>
      <c r="BF10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53.207554860335193</v>
      </c>
      <c r="BG10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75.627673743016743</v>
      </c>
      <c r="BH10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93.113221005586581</v>
      </c>
      <c r="BI10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96.545966480446921</v>
      </c>
      <c r="BJ10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98.101429273743008</v>
      </c>
      <c r="BK10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84.799540558659217</v>
      </c>
      <c r="BL10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59.536679329608937</v>
      </c>
      <c r="BM10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38.242930055865919</v>
      </c>
      <c r="BN10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17.700093854748602</v>
      </c>
      <c r="BO10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14.964624804469274</v>
      </c>
      <c r="BP1079">
        <f>SUM(Таб[[#This Row],[1]:[12]])</f>
        <v>681.66815999999994</v>
      </c>
    </row>
    <row r="1080" spans="2:68" ht="38.25">
      <c r="B1080" t="s">
        <v>384</v>
      </c>
      <c r="C1080" t="str">
        <f>IFERROR(VLOOKUP(Таб[[#This Row],[Зелений Тариф ЕЦ]],Sheet6!$H$9:$I$29,2,FALSE),"")</f>
        <v>Дах</v>
      </c>
      <c r="G1080" s="1" t="s">
        <v>2555</v>
      </c>
      <c r="H1080" t="s">
        <v>107</v>
      </c>
      <c r="J1080" s="7">
        <v>0.27800000000000002</v>
      </c>
      <c r="K1080" s="8">
        <v>43825</v>
      </c>
      <c r="L1080" s="8">
        <v>43861</v>
      </c>
      <c r="M1080">
        <v>1</v>
      </c>
      <c r="N1080" s="49" t="s">
        <v>67</v>
      </c>
      <c r="O1080">
        <v>2020</v>
      </c>
      <c r="P1080">
        <v>0.16370000000000001</v>
      </c>
      <c r="Q1080" s="10"/>
      <c r="R1080" s="11">
        <f>ROUND(Таб[[#This Row],[Зелений Тариф ЕЦ]]+Таб[[#This Row],[Зелений Тариф ЕЦ]]*Таб[[#This Row],[% надбавки]],4)</f>
        <v>0.16370000000000001</v>
      </c>
      <c r="S1080" s="12"/>
      <c r="T1080"/>
      <c r="BD10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8.9518432417971532</v>
      </c>
      <c r="BE10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15.436022950664883</v>
      </c>
      <c r="BF10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26.041725794318985</v>
      </c>
      <c r="BG10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37.014952993941307</v>
      </c>
      <c r="BH10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45.573020140058233</v>
      </c>
      <c r="BI10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47.2531314816272</v>
      </c>
      <c r="BJ10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48.014431933275631</v>
      </c>
      <c r="BK10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41.504000484695894</v>
      </c>
      <c r="BL10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29.139431080336774</v>
      </c>
      <c r="BM10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18.71749041466677</v>
      </c>
      <c r="BN10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8.6630741049649878</v>
      </c>
      <c r="BO10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7.3242353796522153</v>
      </c>
      <c r="BP1080">
        <f>SUM(Таб[[#This Row],[1]:[12]])</f>
        <v>333.63336000000004</v>
      </c>
    </row>
    <row r="1081" spans="2:68" ht="51">
      <c r="B1081" t="s">
        <v>384</v>
      </c>
      <c r="C1081" t="str">
        <f>IFERROR(VLOOKUP(Таб[[#This Row],[Зелений Тариф ЕЦ]],Sheet6!$H$9:$I$29,2,FALSE),"")</f>
        <v>Дах</v>
      </c>
      <c r="G1081" s="1" t="s">
        <v>2557</v>
      </c>
      <c r="H1081" t="s">
        <v>198</v>
      </c>
      <c r="J1081" s="7">
        <v>0.58799999999999997</v>
      </c>
      <c r="K1081" s="8">
        <v>43816</v>
      </c>
      <c r="L1081" s="8">
        <v>43861</v>
      </c>
      <c r="M1081">
        <v>1</v>
      </c>
      <c r="N1081" s="49" t="s">
        <v>67</v>
      </c>
      <c r="O1081">
        <v>2020</v>
      </c>
      <c r="P1081">
        <v>0.16370000000000001</v>
      </c>
      <c r="Q1081" s="10"/>
      <c r="R1081" s="11">
        <f>ROUND(Таб[[#This Row],[Зелений Тариф ЕЦ]]+Таб[[#This Row],[Зелений Тариф ЕЦ]]*Таб[[#This Row],[% надбавки]],4)</f>
        <v>0.16370000000000001</v>
      </c>
      <c r="S1081" s="12"/>
      <c r="T1081"/>
      <c r="BD10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18.934114482650095</v>
      </c>
      <c r="BE10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32.648854298528605</v>
      </c>
      <c r="BF10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55.081060313163903</v>
      </c>
      <c r="BG10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78.290620001573686</v>
      </c>
      <c r="BH10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96.391855548036801</v>
      </c>
      <c r="BI10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99.945472342434499</v>
      </c>
      <c r="BJ10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101.55570495239593</v>
      </c>
      <c r="BK10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87.785439874104966</v>
      </c>
      <c r="BL10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61.633041277834607</v>
      </c>
      <c r="BM10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39.589512100086552</v>
      </c>
      <c r="BN10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18.323336596112995</v>
      </c>
      <c r="BO10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15.491548213077348</v>
      </c>
      <c r="BP1081">
        <f>SUM(Таб[[#This Row],[1]:[12]])</f>
        <v>705.67056000000002</v>
      </c>
    </row>
    <row r="1082" spans="2:68" ht="25.5">
      <c r="B1082" t="s">
        <v>384</v>
      </c>
      <c r="C1082" t="str">
        <f>IFERROR(VLOOKUP(Таб[[#This Row],[Зелений Тариф ЕЦ]],Sheet6!$H$9:$I$29,2,FALSE),"")</f>
        <v>Земля</v>
      </c>
      <c r="G1082" s="1" t="s">
        <v>2559</v>
      </c>
      <c r="H1082" t="s">
        <v>185</v>
      </c>
      <c r="J1082" s="7">
        <v>1.0549999999999999</v>
      </c>
      <c r="K1082" s="8">
        <v>43790</v>
      </c>
      <c r="L1082" s="8">
        <v>43861</v>
      </c>
      <c r="M1082">
        <v>1</v>
      </c>
      <c r="N1082" s="49" t="s">
        <v>67</v>
      </c>
      <c r="O1082">
        <v>2020</v>
      </c>
      <c r="P1082">
        <v>0.15029999999999999</v>
      </c>
      <c r="Q1082" s="10"/>
      <c r="R1082" s="11">
        <f>ROUND(Таб[[#This Row],[Зелений Тариф ЕЦ]]+Таб[[#This Row],[Зелений Тариф ЕЦ]]*Таб[[#This Row],[% надбавки]],4)</f>
        <v>0.15029999999999999</v>
      </c>
      <c r="S1082" s="12"/>
      <c r="T1082"/>
      <c r="BD10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33.971923093870487</v>
      </c>
      <c r="BE10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58.579151845149106</v>
      </c>
      <c r="BF10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98.827412636714115</v>
      </c>
      <c r="BG10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140.47041513887797</v>
      </c>
      <c r="BH10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172.94797211424972</v>
      </c>
      <c r="BI10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179.3239342198442</v>
      </c>
      <c r="BJ10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182.2130420489417</v>
      </c>
      <c r="BK10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157.50618888976314</v>
      </c>
      <c r="BL10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110.58309276890392</v>
      </c>
      <c r="BM10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71.032202832638262</v>
      </c>
      <c r="BN10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32.876054606971437</v>
      </c>
      <c r="BO10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27.795209804075853</v>
      </c>
      <c r="BP1082">
        <f>SUM(Таб[[#This Row],[1]:[12]])</f>
        <v>1266.1265999999996</v>
      </c>
    </row>
    <row r="1083" spans="2:68" ht="38.25">
      <c r="B1083" t="s">
        <v>384</v>
      </c>
      <c r="C1083" t="str">
        <f>IFERROR(VLOOKUP(Таб[[#This Row],[Зелений Тариф ЕЦ]],Sheet6!$H$9:$I$29,2,FALSE),"")</f>
        <v>Дах</v>
      </c>
      <c r="G1083" s="1" t="s">
        <v>2561</v>
      </c>
      <c r="H1083" t="s">
        <v>65</v>
      </c>
      <c r="J1083" s="7">
        <v>8.8999999999999996E-2</v>
      </c>
      <c r="K1083" s="8">
        <v>43816</v>
      </c>
      <c r="L1083" s="8">
        <v>43861</v>
      </c>
      <c r="M1083">
        <v>1</v>
      </c>
      <c r="N1083" s="49" t="s">
        <v>67</v>
      </c>
      <c r="O1083">
        <v>2020</v>
      </c>
      <c r="P1083">
        <v>0.16370000000000001</v>
      </c>
      <c r="Q1083" s="10"/>
      <c r="R1083" s="11">
        <f>ROUND(Таб[[#This Row],[Зелений Тариф ЕЦ]]+Таб[[#This Row],[Зелений Тариф ЕЦ]]*Таб[[#This Row],[% надбавки]],4)</f>
        <v>0.16370000000000001</v>
      </c>
      <c r="S1083" s="12"/>
      <c r="T1083"/>
      <c r="BD10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2.8658778723739085</v>
      </c>
      <c r="BE10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4.9417483547092607</v>
      </c>
      <c r="BF10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8.3370992650877334</v>
      </c>
      <c r="BG10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11.85011085057833</v>
      </c>
      <c r="BH10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14.589923713903534</v>
      </c>
      <c r="BI10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15.127801085844677</v>
      </c>
      <c r="BJ10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15.371526770005506</v>
      </c>
      <c r="BK10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13.287251953733573</v>
      </c>
      <c r="BL10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9.3288106696042163</v>
      </c>
      <c r="BM10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5.9922900967818071</v>
      </c>
      <c r="BN10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2.7734301990715244</v>
      </c>
      <c r="BO10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2.3448091683059245</v>
      </c>
      <c r="BP1083">
        <f>SUM(Таб[[#This Row],[1]:[12]])</f>
        <v>106.81068</v>
      </c>
    </row>
    <row r="1084" spans="2:68" ht="38.25">
      <c r="B1084" t="s">
        <v>384</v>
      </c>
      <c r="C1084" t="str">
        <f>IFERROR(VLOOKUP(Таб[[#This Row],[Зелений Тариф ЕЦ]],Sheet6!$H$9:$I$29,2,FALSE),"")</f>
        <v>Земля</v>
      </c>
      <c r="G1084" s="1" t="s">
        <v>2563</v>
      </c>
      <c r="H1084" t="s">
        <v>65</v>
      </c>
      <c r="J1084" s="7">
        <v>1.67</v>
      </c>
      <c r="K1084" s="8">
        <v>43819</v>
      </c>
      <c r="L1084" s="8">
        <v>43868</v>
      </c>
      <c r="M1084">
        <v>2</v>
      </c>
      <c r="N1084" s="49" t="s">
        <v>67</v>
      </c>
      <c r="O1084">
        <v>2020</v>
      </c>
      <c r="P1084">
        <v>0.15029999999999999</v>
      </c>
      <c r="Q1084" s="10"/>
      <c r="R1084" s="11">
        <f>ROUND(Таб[[#This Row],[Зелений Тариф ЕЦ]]+Таб[[#This Row],[Зелений Тариф ЕЦ]]*Таб[[#This Row],[% надбавки]],4)</f>
        <v>0.15029999999999999</v>
      </c>
      <c r="S1084" s="12"/>
      <c r="T1084"/>
      <c r="BD10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53.77546120072391</v>
      </c>
      <c r="BE10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92.727188228814228</v>
      </c>
      <c r="BF10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156.43770531119679</v>
      </c>
      <c r="BG10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222.35601258950351</v>
      </c>
      <c r="BH10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273.76598429459438</v>
      </c>
      <c r="BI10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283.8587394759619</v>
      </c>
      <c r="BJ10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288.43201916751906</v>
      </c>
      <c r="BK10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249.32259283971987</v>
      </c>
      <c r="BL10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175.0462226768432</v>
      </c>
      <c r="BM10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112.43960069242267</v>
      </c>
      <c r="BN10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52.040768903926356</v>
      </c>
      <c r="BO10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43.9981046187741</v>
      </c>
      <c r="BP1084">
        <f>SUM(Таб[[#This Row],[1]:[12]])</f>
        <v>2004.2003999999999</v>
      </c>
    </row>
    <row r="1085" spans="2:68" ht="38.25">
      <c r="B1085" t="s">
        <v>384</v>
      </c>
      <c r="C1085" t="str">
        <f>IFERROR(VLOOKUP(Таб[[#This Row],[Зелений Тариф ЕЦ]],Sheet6!$H$9:$I$29,2,FALSE),"")</f>
        <v>Земля</v>
      </c>
      <c r="G1085" s="1" t="s">
        <v>2565</v>
      </c>
      <c r="H1085" t="s">
        <v>122</v>
      </c>
      <c r="J1085" s="7">
        <v>2.927</v>
      </c>
      <c r="K1085" s="8">
        <v>43815</v>
      </c>
      <c r="L1085" s="8">
        <v>43868</v>
      </c>
      <c r="M1085">
        <v>2</v>
      </c>
      <c r="N1085" s="49" t="s">
        <v>67</v>
      </c>
      <c r="O1085">
        <v>2020</v>
      </c>
      <c r="P1085">
        <v>0.15029999999999999</v>
      </c>
      <c r="Q1085" s="10"/>
      <c r="R1085" s="11">
        <f>ROUND(Таб[[#This Row],[Зелений Тариф ЕЦ]]+Таб[[#This Row],[Зелений Тариф ЕЦ]]*Таб[[#This Row],[% надбавки]],4)</f>
        <v>0.15029999999999999</v>
      </c>
      <c r="S1085" s="12"/>
      <c r="T1085"/>
      <c r="BD10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94.25196103863405</v>
      </c>
      <c r="BE10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162.52244308128098</v>
      </c>
      <c r="BF10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274.18752302148084</v>
      </c>
      <c r="BG10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389.72218493980643</v>
      </c>
      <c r="BH10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479.82816528759156</v>
      </c>
      <c r="BI10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497.51768290188062</v>
      </c>
      <c r="BJ10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505.53324557085529</v>
      </c>
      <c r="BK10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436.9863648154851</v>
      </c>
      <c r="BL10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306.80257112282635</v>
      </c>
      <c r="BM10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197.07228217168932</v>
      </c>
      <c r="BN10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91.211575198678105</v>
      </c>
      <c r="BO10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77.115240849791491</v>
      </c>
      <c r="BP1085">
        <f>SUM(Таб[[#This Row],[1]:[12]])</f>
        <v>3512.7512400000005</v>
      </c>
    </row>
    <row r="1086" spans="2:68" ht="51">
      <c r="B1086" t="s">
        <v>384</v>
      </c>
      <c r="C1086" t="str">
        <f>IFERROR(VLOOKUP(Таб[[#This Row],[Зелений Тариф ЕЦ]],Sheet6!$H$9:$I$29,2,FALSE),"")</f>
        <v>Земля</v>
      </c>
      <c r="G1086" s="1" t="s">
        <v>2567</v>
      </c>
      <c r="H1086" t="s">
        <v>136</v>
      </c>
      <c r="J1086" s="7">
        <v>1.633</v>
      </c>
      <c r="K1086" s="8">
        <v>43817</v>
      </c>
      <c r="L1086" s="8">
        <v>43868</v>
      </c>
      <c r="M1086">
        <v>2</v>
      </c>
      <c r="N1086" s="49" t="s">
        <v>67</v>
      </c>
      <c r="O1086">
        <v>2020</v>
      </c>
      <c r="P1086">
        <v>0.15029999999999999</v>
      </c>
      <c r="Q1086" s="10"/>
      <c r="R1086" s="11">
        <f>ROUND(Таб[[#This Row],[Зелений Тариф ЕЦ]]+Таб[[#This Row],[Зелений Тариф ЕЦ]]*Таб[[#This Row],[% надбавки]],4)</f>
        <v>0.15029999999999999</v>
      </c>
      <c r="S1086" s="12"/>
      <c r="T1086"/>
      <c r="BD10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52.584028826815654</v>
      </c>
      <c r="BE10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90.672753519553069</v>
      </c>
      <c r="BF10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152.97172022346371</v>
      </c>
      <c r="BG10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217.4295620111732</v>
      </c>
      <c r="BH10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267.70051039106147</v>
      </c>
      <c r="BI10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277.56965363128495</v>
      </c>
      <c r="BJ10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282.04160916201113</v>
      </c>
      <c r="BK10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243.7986791061453</v>
      </c>
      <c r="BL10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171.16795307262572</v>
      </c>
      <c r="BM10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109.94842391061454</v>
      </c>
      <c r="BN10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50.887769832402242</v>
      </c>
      <c r="BO10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43.023296312849162</v>
      </c>
      <c r="BP1086">
        <f>SUM(Таб[[#This Row],[1]:[12]])</f>
        <v>1959.7959600000004</v>
      </c>
    </row>
    <row r="1087" spans="2:68" ht="38.25">
      <c r="B1087" t="s">
        <v>384</v>
      </c>
      <c r="C1087" t="str">
        <f>IFERROR(VLOOKUP(Таб[[#This Row],[Зелений Тариф ЕЦ]],Sheet6!$H$9:$I$29,2,FALSE),"")</f>
        <v>Дах</v>
      </c>
      <c r="G1087" s="1" t="s">
        <v>2569</v>
      </c>
      <c r="H1087" t="s">
        <v>1257</v>
      </c>
      <c r="J1087" s="7">
        <v>0.35499999999999998</v>
      </c>
      <c r="K1087" s="8">
        <v>43818</v>
      </c>
      <c r="L1087" s="8">
        <v>43868</v>
      </c>
      <c r="M1087">
        <v>2</v>
      </c>
      <c r="N1087" s="49" t="s">
        <v>67</v>
      </c>
      <c r="O1087">
        <v>2020</v>
      </c>
      <c r="P1087">
        <v>0.16370000000000001</v>
      </c>
      <c r="Q1087" s="10"/>
      <c r="R1087" s="11">
        <f>ROUND(Таб[[#This Row],[Зелений Тариф ЕЦ]]+Таб[[#This Row],[Зелений Тариф ЕЦ]]*Таб[[#This Row],[% надбавки]],4)</f>
        <v>0.16370000000000001</v>
      </c>
      <c r="S1087" s="12"/>
      <c r="T1087"/>
      <c r="BD10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11.431310614525142</v>
      </c>
      <c r="BE10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19.71146815642458</v>
      </c>
      <c r="BF10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33.254721787709499</v>
      </c>
      <c r="BG10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47.267296089385475</v>
      </c>
      <c r="BH10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58.195763128491606</v>
      </c>
      <c r="BI10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60.341229050279331</v>
      </c>
      <c r="BJ10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61.313393296089373</v>
      </c>
      <c r="BK10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52.999712849162016</v>
      </c>
      <c r="BL10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37.21042458100559</v>
      </c>
      <c r="BM10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23.901831284916199</v>
      </c>
      <c r="BN10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11.06255865921788</v>
      </c>
      <c r="BO10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9.3528905027932971</v>
      </c>
      <c r="BP1087">
        <f>SUM(Таб[[#This Row],[1]:[12]])</f>
        <v>426.04259999999994</v>
      </c>
    </row>
    <row r="1088" spans="2:68" ht="51">
      <c r="B1088" t="s">
        <v>384</v>
      </c>
      <c r="C1088" t="str">
        <f>IFERROR(VLOOKUP(Таб[[#This Row],[Зелений Тариф ЕЦ]],Sheet6!$H$9:$I$29,2,FALSE),"")</f>
        <v>Дах</v>
      </c>
      <c r="G1088" s="1" t="s">
        <v>2297</v>
      </c>
      <c r="H1088" t="s">
        <v>198</v>
      </c>
      <c r="J1088" s="7">
        <v>0.39300000000000002</v>
      </c>
      <c r="K1088" s="8">
        <v>43823</v>
      </c>
      <c r="L1088" s="8">
        <v>43868</v>
      </c>
      <c r="M1088">
        <v>2</v>
      </c>
      <c r="N1088" s="49" t="s">
        <v>67</v>
      </c>
      <c r="O1088">
        <v>2020</v>
      </c>
      <c r="P1088">
        <v>0.16370000000000001</v>
      </c>
      <c r="Q1088" s="10"/>
      <c r="R1088" s="11">
        <f>ROUND(Таб[[#This Row],[Зелений Тариф ЕЦ]]+Таб[[#This Row],[Зелений Тариф ЕЦ]]*Таб[[#This Row],[% надбавки]],4)</f>
        <v>0.16370000000000001</v>
      </c>
      <c r="S1088" s="12"/>
      <c r="T1088"/>
      <c r="BD10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12.654943863403888</v>
      </c>
      <c r="BE10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21.821428128098198</v>
      </c>
      <c r="BF10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36.814382148084036</v>
      </c>
      <c r="BG10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52.326893980643632</v>
      </c>
      <c r="BH10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64.42516875914707</v>
      </c>
      <c r="BI10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66.800290188055712</v>
      </c>
      <c r="BJ10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67.87651708552994</v>
      </c>
      <c r="BK10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58.672921548508938</v>
      </c>
      <c r="BL10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41.193512282634359</v>
      </c>
      <c r="BM10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26.460337168935396</v>
      </c>
      <c r="BN10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12.246719867810214</v>
      </c>
      <c r="BO10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10.354044979148636</v>
      </c>
      <c r="BP1088">
        <f>SUM(Таб[[#This Row],[1]:[12]])</f>
        <v>471.64715999999999</v>
      </c>
    </row>
    <row r="1089" spans="2:68" ht="38.25">
      <c r="B1089" t="s">
        <v>384</v>
      </c>
      <c r="C1089" t="str">
        <f>IFERROR(VLOOKUP(Таб[[#This Row],[Зелений Тариф ЕЦ]],Sheet6!$H$9:$I$29,2,FALSE),"")</f>
        <v>Земля</v>
      </c>
      <c r="G1089" s="1" t="s">
        <v>2572</v>
      </c>
      <c r="H1089" t="s">
        <v>185</v>
      </c>
      <c r="J1089" s="7">
        <v>0.38600000000000001</v>
      </c>
      <c r="K1089" s="8">
        <v>43819</v>
      </c>
      <c r="L1089" s="8">
        <v>43875</v>
      </c>
      <c r="M1089">
        <v>2</v>
      </c>
      <c r="N1089" s="49" t="s">
        <v>67</v>
      </c>
      <c r="O1089">
        <v>2020</v>
      </c>
      <c r="P1089">
        <v>0.15029999999999999</v>
      </c>
      <c r="Q1089" s="10"/>
      <c r="R1089" s="11">
        <f>ROUND(Таб[[#This Row],[Зелений Тариф ЕЦ]]+Таб[[#This Row],[Зелений Тариф ЕЦ]]*Таб[[#This Row],[% надбавки]],4)</f>
        <v>0.15029999999999999</v>
      </c>
      <c r="S1089" s="12"/>
      <c r="T1089"/>
      <c r="BD10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12.429537738610435</v>
      </c>
      <c r="BE10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21.432751291210952</v>
      </c>
      <c r="BF10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36.15865523959399</v>
      </c>
      <c r="BG10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51.394862790148714</v>
      </c>
      <c r="BH10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63.277646669289474</v>
      </c>
      <c r="BI10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65.610463136360067</v>
      </c>
      <c r="BJ10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66.667520598001417</v>
      </c>
      <c r="BK10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57.627856788102932</v>
      </c>
      <c r="BL10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40.459785600755374</v>
      </c>
      <c r="BM10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25.98903345345818</v>
      </c>
      <c r="BN10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12.028584908332679</v>
      </c>
      <c r="BO10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10.16962178613581</v>
      </c>
      <c r="BP1089">
        <f>SUM(Таб[[#This Row],[1]:[12]])</f>
        <v>463.24632000000003</v>
      </c>
    </row>
    <row r="1090" spans="2:68" ht="38.25">
      <c r="B1090" t="s">
        <v>384</v>
      </c>
      <c r="C1090" t="str">
        <f>IFERROR(VLOOKUP(Таб[[#This Row],[Зелений Тариф ЕЦ]],Sheet6!$H$9:$I$29,2,FALSE),"")</f>
        <v>Земля</v>
      </c>
      <c r="G1090" s="1" t="s">
        <v>2574</v>
      </c>
      <c r="H1090" t="s">
        <v>172</v>
      </c>
      <c r="J1090" s="7">
        <v>7.6230000000000002</v>
      </c>
      <c r="K1090" s="8">
        <v>43822</v>
      </c>
      <c r="L1090" s="8">
        <v>43875</v>
      </c>
      <c r="M1090">
        <v>2</v>
      </c>
      <c r="N1090" s="49" t="s">
        <v>67</v>
      </c>
      <c r="O1090">
        <v>2020</v>
      </c>
      <c r="P1090">
        <v>0.15029999999999999</v>
      </c>
      <c r="Q1090" s="10"/>
      <c r="R1090" s="11">
        <f>ROUND(Таб[[#This Row],[Зелений Тариф ЕЦ]]+Таб[[#This Row],[Зелений Тариф ЕЦ]]*Таб[[#This Row],[% надбавки]],4)</f>
        <v>0.15029999999999999</v>
      </c>
      <c r="S1090" s="12"/>
      <c r="T1090"/>
      <c r="BD10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245.46726990007085</v>
      </c>
      <c r="BE10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423.26907537021015</v>
      </c>
      <c r="BF10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714.08660334566048</v>
      </c>
      <c r="BG10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1014.9819664489733</v>
      </c>
      <c r="BH10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1249.6515558549061</v>
      </c>
      <c r="BI10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1295.7216592965615</v>
      </c>
      <c r="BJ10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1316.5971749185617</v>
      </c>
      <c r="BK10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1138.0755240821466</v>
      </c>
      <c r="BL10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799.02835656621312</v>
      </c>
      <c r="BM10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513.24974615469341</v>
      </c>
      <c r="BN10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237.54897087103632</v>
      </c>
      <c r="BO10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200.83685719096707</v>
      </c>
      <c r="BP1090">
        <f>SUM(Таб[[#This Row],[1]:[12]])</f>
        <v>9148.51476</v>
      </c>
    </row>
    <row r="1091" spans="2:68" ht="38.25">
      <c r="B1091" t="s">
        <v>384</v>
      </c>
      <c r="C1091" t="str">
        <f>IFERROR(VLOOKUP(Таб[[#This Row],[Зелений Тариф ЕЦ]],Sheet6!$H$9:$I$29,2,FALSE),"")</f>
        <v>Земля</v>
      </c>
      <c r="G1091" s="1" t="s">
        <v>2576</v>
      </c>
      <c r="H1091" t="s">
        <v>101</v>
      </c>
      <c r="J1091" s="7">
        <v>3.5990000000000002</v>
      </c>
      <c r="K1091" s="8">
        <v>43818</v>
      </c>
      <c r="L1091" s="8">
        <v>43875</v>
      </c>
      <c r="M1091">
        <v>2</v>
      </c>
      <c r="N1091" s="49" t="s">
        <v>67</v>
      </c>
      <c r="O1091">
        <v>2020</v>
      </c>
      <c r="P1091">
        <v>0.15029999999999999</v>
      </c>
      <c r="Q1091" s="10"/>
      <c r="R1091" s="11">
        <f>ROUND(Таб[[#This Row],[Зелений Тариф ЕЦ]]+Таб[[#This Row],[Зелений Тариф ЕЦ]]*Таб[[#This Row],[% надбавки]],4)</f>
        <v>0.15029999999999999</v>
      </c>
      <c r="S1091" s="12"/>
      <c r="T1091"/>
      <c r="BD10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115.89094901880559</v>
      </c>
      <c r="BE10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199.83541942245657</v>
      </c>
      <c r="BF10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337.13730623652532</v>
      </c>
      <c r="BG10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479.19717922731922</v>
      </c>
      <c r="BH10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589.99028591391925</v>
      </c>
      <c r="BI10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611.74107986466288</v>
      </c>
      <c r="BJ10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621.59690837359358</v>
      </c>
      <c r="BK10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537.31258181446219</v>
      </c>
      <c r="BL10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377.24033258320878</v>
      </c>
      <c r="BM10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242.31743885750254</v>
      </c>
      <c r="BN10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112.15253130852153</v>
      </c>
      <c r="BO10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94.819867379022753</v>
      </c>
      <c r="BP1091">
        <f>SUM(Таб[[#This Row],[1]:[12]])</f>
        <v>4319.2318800000003</v>
      </c>
    </row>
    <row r="1092" spans="2:68" ht="38.25">
      <c r="B1092" t="s">
        <v>384</v>
      </c>
      <c r="C1092" t="str">
        <f>IFERROR(VLOOKUP(Таб[[#This Row],[Зелений Тариф ЕЦ]],Sheet6!$H$9:$I$29,2,FALSE),"")</f>
        <v>Земля</v>
      </c>
      <c r="G1092" s="1" t="s">
        <v>2578</v>
      </c>
      <c r="H1092" t="s">
        <v>101</v>
      </c>
      <c r="J1092" s="7">
        <v>6.2590000000000003</v>
      </c>
      <c r="K1092" s="8">
        <v>43820</v>
      </c>
      <c r="L1092" s="8">
        <v>43875</v>
      </c>
      <c r="M1092">
        <v>2</v>
      </c>
      <c r="N1092" s="49" t="s">
        <v>67</v>
      </c>
      <c r="O1092">
        <v>2020</v>
      </c>
      <c r="P1092">
        <v>0.15029999999999999</v>
      </c>
      <c r="Q1092" s="10"/>
      <c r="R1092" s="11">
        <f>ROUND(Таб[[#This Row],[Зелений Тариф ЕЦ]]+Таб[[#This Row],[Зелений Тариф ЕЦ]]*Таб[[#This Row],[% надбавки]],4)</f>
        <v>0.15029999999999999</v>
      </c>
      <c r="S1092" s="12"/>
      <c r="T1092"/>
      <c r="BD10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201.54527644031791</v>
      </c>
      <c r="BE10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347.53261743960974</v>
      </c>
      <c r="BF10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586.31353146274296</v>
      </c>
      <c r="BG10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833.36903161539067</v>
      </c>
      <c r="BH10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1026.0486800598001</v>
      </c>
      <c r="BI10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1063.8753595090093</v>
      </c>
      <c r="BJ10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1081.0155736344323</v>
      </c>
      <c r="BK10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934.43719076874663</v>
      </c>
      <c r="BL10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656.05647169722261</v>
      </c>
      <c r="BM10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421.41285073884643</v>
      </c>
      <c r="BN10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195.04381590998508</v>
      </c>
      <c r="BO10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164.90068072389647</v>
      </c>
      <c r="BP1092">
        <f>SUM(Таб[[#This Row],[1]:[12]])</f>
        <v>7511.5510800000011</v>
      </c>
    </row>
    <row r="1093" spans="2:68" ht="38.25">
      <c r="B1093" t="s">
        <v>384</v>
      </c>
      <c r="C1093" t="str">
        <f>IFERROR(VLOOKUP(Таб[[#This Row],[Зелений Тариф ЕЦ]],Sheet6!$H$9:$I$29,2,FALSE),"")</f>
        <v>Земля</v>
      </c>
      <c r="G1093" s="1" t="s">
        <v>2580</v>
      </c>
      <c r="H1093" t="s">
        <v>163</v>
      </c>
      <c r="J1093" s="7">
        <v>3.536</v>
      </c>
      <c r="K1093" s="8">
        <v>43805</v>
      </c>
      <c r="L1093" s="8">
        <v>43875</v>
      </c>
      <c r="M1093">
        <v>2</v>
      </c>
      <c r="N1093" s="49" t="s">
        <v>67</v>
      </c>
      <c r="O1093">
        <v>2020</v>
      </c>
      <c r="P1093">
        <v>0.15029999999999999</v>
      </c>
      <c r="Q1093" s="10"/>
      <c r="R1093" s="11">
        <f>ROUND(Таб[[#This Row],[Зелений Тариф ЕЦ]]+Таб[[#This Row],[Зелений Тариф ЕЦ]]*Таб[[#This Row],[% надбавки]],4)</f>
        <v>0.15029999999999999</v>
      </c>
      <c r="S1093" s="12"/>
      <c r="T1093"/>
      <c r="BD10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113.86229389566449</v>
      </c>
      <c r="BE10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196.33732789047133</v>
      </c>
      <c r="BF10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331.23576406011489</v>
      </c>
      <c r="BG10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470.80889851286486</v>
      </c>
      <c r="BH10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579.66258710520106</v>
      </c>
      <c r="BI10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601.03263639940201</v>
      </c>
      <c r="BJ10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610.71593998583671</v>
      </c>
      <c r="BK10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527.9069989708081</v>
      </c>
      <c r="BL10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370.63679244629793</v>
      </c>
      <c r="BM10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238.07570541820758</v>
      </c>
      <c r="BN10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110.18931667322371</v>
      </c>
      <c r="BO10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93.160058641907327</v>
      </c>
      <c r="BP1093">
        <f>SUM(Таб[[#This Row],[1]:[12]])</f>
        <v>4243.6243199999999</v>
      </c>
    </row>
    <row r="1094" spans="2:68" ht="38.25">
      <c r="B1094" t="s">
        <v>384</v>
      </c>
      <c r="C1094" t="str">
        <f>IFERROR(VLOOKUP(Таб[[#This Row],[Зелений Тариф ЕЦ]],Sheet6!$H$9:$I$29,2,FALSE),"")</f>
        <v>Земля</v>
      </c>
      <c r="G1094" s="1" t="s">
        <v>2582</v>
      </c>
      <c r="H1094" t="s">
        <v>163</v>
      </c>
      <c r="J1094" s="7">
        <v>2.859</v>
      </c>
      <c r="K1094" s="8">
        <v>43805</v>
      </c>
      <c r="L1094" s="8">
        <v>43875</v>
      </c>
      <c r="M1094">
        <v>2</v>
      </c>
      <c r="N1094" s="49" t="s">
        <v>67</v>
      </c>
      <c r="O1094">
        <v>2020</v>
      </c>
      <c r="P1094">
        <v>0.15029999999999999</v>
      </c>
      <c r="Q1094" s="10"/>
      <c r="R1094" s="11">
        <f>ROUND(Таб[[#This Row],[Зелений Тариф ЕЦ]]+Таб[[#This Row],[Зелений Тариф ЕЦ]]*Таб[[#This Row],[% надбавки]],4)</f>
        <v>0.15029999999999999</v>
      </c>
      <c r="S1094" s="12"/>
      <c r="T1094"/>
      <c r="BD10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92.062301540640505</v>
      </c>
      <c r="BE10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158.74672523723348</v>
      </c>
      <c r="BF10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267.81760448186321</v>
      </c>
      <c r="BG10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380.66816766071292</v>
      </c>
      <c r="BH10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468.6808078432606</v>
      </c>
      <c r="BI10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485.95936297112286</v>
      </c>
      <c r="BJ10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493.7887082634353</v>
      </c>
      <c r="BK10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426.83430714296958</v>
      </c>
      <c r="BL10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299.67494049885909</v>
      </c>
      <c r="BM10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192.49390322133922</v>
      </c>
      <c r="BN10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89.092549878039193</v>
      </c>
      <c r="BO10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75.323701260524047</v>
      </c>
      <c r="BP1094">
        <f>SUM(Таб[[#This Row],[1]:[12]])</f>
        <v>3431.1430800000003</v>
      </c>
    </row>
    <row r="1095" spans="2:68" ht="114.75">
      <c r="B1095" t="s">
        <v>384</v>
      </c>
      <c r="C1095" t="str">
        <f>IFERROR(VLOOKUP(Таб[[#This Row],[Зелений Тариф ЕЦ]],Sheet6!$H$9:$I$29,2,FALSE),"")</f>
        <v>Дах</v>
      </c>
      <c r="G1095" s="1" t="s">
        <v>2584</v>
      </c>
      <c r="H1095" t="s">
        <v>122</v>
      </c>
      <c r="J1095" s="7">
        <v>4.2000000000000003E-2</v>
      </c>
      <c r="K1095" s="8">
        <v>43815</v>
      </c>
      <c r="L1095" s="8">
        <v>43875</v>
      </c>
      <c r="M1095">
        <v>2</v>
      </c>
      <c r="N1095" s="49" t="s">
        <v>67</v>
      </c>
      <c r="O1095">
        <v>2020</v>
      </c>
      <c r="P1095">
        <v>0.16370000000000001</v>
      </c>
      <c r="Q1095" s="10"/>
      <c r="R1095" s="11">
        <f>ROUND(Таб[[#This Row],[Зелений Тариф ЕЦ]]+Таб[[#This Row],[Зелений Тариф ЕЦ]]*Таб[[#This Row],[% надбавки]],4)</f>
        <v>0.16370000000000001</v>
      </c>
      <c r="S1095" s="12"/>
      <c r="T1095"/>
      <c r="BD10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1.352436748760721</v>
      </c>
      <c r="BE10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2.3320610213234718</v>
      </c>
      <c r="BF10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3.9343614509402789</v>
      </c>
      <c r="BG10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5.59218714296955</v>
      </c>
      <c r="BH10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6.8851325391454878</v>
      </c>
      <c r="BI10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7.138962310173893</v>
      </c>
      <c r="BJ10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7.253978925171138</v>
      </c>
      <c r="BK10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6.2703885624360698</v>
      </c>
      <c r="BL10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4.4023600912739012</v>
      </c>
      <c r="BM10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2.827822292863325</v>
      </c>
      <c r="BN10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1.3088097568652137</v>
      </c>
      <c r="BO10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1.1065391580769535</v>
      </c>
      <c r="BP1095">
        <f>SUM(Таб[[#This Row],[1]:[12]])</f>
        <v>50.405040000000007</v>
      </c>
    </row>
    <row r="1096" spans="2:68" ht="38.25">
      <c r="B1096" t="s">
        <v>384</v>
      </c>
      <c r="C1096" t="str">
        <f>IFERROR(VLOOKUP(Таб[[#This Row],[Зелений Тариф ЕЦ]],Sheet6!$H$9:$I$29,2,FALSE),"")</f>
        <v>Дах</v>
      </c>
      <c r="G1096" s="1" t="s">
        <v>2586</v>
      </c>
      <c r="H1096" t="s">
        <v>122</v>
      </c>
      <c r="J1096" s="7">
        <v>0.09</v>
      </c>
      <c r="K1096" s="8">
        <v>43815</v>
      </c>
      <c r="L1096" s="8">
        <v>43875</v>
      </c>
      <c r="M1096">
        <v>2</v>
      </c>
      <c r="N1096" s="49" t="s">
        <v>67</v>
      </c>
      <c r="O1096">
        <v>2020</v>
      </c>
      <c r="P1096">
        <v>0.16370000000000001</v>
      </c>
      <c r="Q1096" s="10"/>
      <c r="R1096" s="11">
        <f>ROUND(Таб[[#This Row],[Зелений Тариф ЕЦ]]+Таб[[#This Row],[Зелений Тариф ЕЦ]]*Таб[[#This Row],[% надбавки]],4)</f>
        <v>0.16370000000000001</v>
      </c>
      <c r="S1096" s="12"/>
      <c r="T1096"/>
      <c r="BD10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2.8980787473444019</v>
      </c>
      <c r="BE10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4.9972736171217242</v>
      </c>
      <c r="BF10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8.4307745377291674</v>
      </c>
      <c r="BG10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11.983258163506175</v>
      </c>
      <c r="BH10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14.753855441026044</v>
      </c>
      <c r="BI10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15.297776378944054</v>
      </c>
      <c r="BJ10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15.544240553938153</v>
      </c>
      <c r="BK10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13.436546919505862</v>
      </c>
      <c r="BL10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9.4336287670155023</v>
      </c>
      <c r="BM10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6.0596191989928379</v>
      </c>
      <c r="BN10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2.804592336139744</v>
      </c>
      <c r="BO10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2.3711553387363287</v>
      </c>
      <c r="BP1096">
        <f>SUM(Таб[[#This Row],[1]:[12]])</f>
        <v>108.01079999999999</v>
      </c>
    </row>
    <row r="1097" spans="2:68" ht="38.25">
      <c r="B1097" t="s">
        <v>384</v>
      </c>
      <c r="C1097" t="str">
        <f>IFERROR(VLOOKUP(Таб[[#This Row],[Зелений Тариф ЕЦ]],Sheet6!$H$9:$I$29,2,FALSE),"")</f>
        <v>Земля</v>
      </c>
      <c r="D1097" t="s">
        <v>3443</v>
      </c>
      <c r="F1097" t="s">
        <v>3429</v>
      </c>
      <c r="G1097" s="1" t="s">
        <v>2329</v>
      </c>
      <c r="H1097" t="s">
        <v>122</v>
      </c>
      <c r="J1097" s="7">
        <v>19.774999999999999</v>
      </c>
      <c r="K1097" s="8">
        <v>43801</v>
      </c>
      <c r="L1097" s="8">
        <v>43875</v>
      </c>
      <c r="M1097">
        <v>2</v>
      </c>
      <c r="N1097" s="49" t="s">
        <v>67</v>
      </c>
      <c r="O1097">
        <v>2020</v>
      </c>
      <c r="P1097">
        <v>0.15029999999999999</v>
      </c>
      <c r="Q1097" s="10"/>
      <c r="R1097" s="11">
        <f>ROUND(Таб[[#This Row],[Зелений Тариф ЕЦ]]+Таб[[#This Row],[Зелений Тариф ЕЦ]]*Таб[[#This Row],[% надбавки]],4)</f>
        <v>0.15029999999999999</v>
      </c>
      <c r="S1097" s="12"/>
      <c r="T1097"/>
      <c r="BD10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636.77230254150606</v>
      </c>
      <c r="BE10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1098.0120642064678</v>
      </c>
      <c r="BF10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1852.4285164843809</v>
      </c>
      <c r="BG10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2632.9881131481625</v>
      </c>
      <c r="BH10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3241.7499038476667</v>
      </c>
      <c r="BI10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3361.2614210402071</v>
      </c>
      <c r="BJ10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3415.4150772680778</v>
      </c>
      <c r="BK10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2952.3079481469827</v>
      </c>
      <c r="BL10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2072.7778763081283</v>
      </c>
      <c r="BM10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1331.4329962231486</v>
      </c>
      <c r="BN10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616.23126052403813</v>
      </c>
      <c r="BO10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520.99552026123217</v>
      </c>
      <c r="BP1097">
        <f>SUM(Таб[[#This Row],[1]:[12]])</f>
        <v>23732.373</v>
      </c>
    </row>
    <row r="1098" spans="2:68" ht="102">
      <c r="B1098" t="s">
        <v>384</v>
      </c>
      <c r="C1098" t="str">
        <f>IFERROR(VLOOKUP(Таб[[#This Row],[Зелений Тариф ЕЦ]],Sheet6!$H$9:$I$29,2,FALSE),"")</f>
        <v>Земля</v>
      </c>
      <c r="G1098" s="1" t="s">
        <v>2589</v>
      </c>
      <c r="H1098" t="s">
        <v>107</v>
      </c>
      <c r="J1098" s="7">
        <v>2.3759999999999999</v>
      </c>
      <c r="K1098" s="8">
        <v>43798</v>
      </c>
      <c r="L1098" s="8">
        <v>43875</v>
      </c>
      <c r="M1098">
        <v>2</v>
      </c>
      <c r="N1098" s="49" t="s">
        <v>67</v>
      </c>
      <c r="O1098">
        <v>2020</v>
      </c>
      <c r="P1098">
        <v>0.15029999999999999</v>
      </c>
      <c r="Q1098" s="10"/>
      <c r="R1098" s="11">
        <f>ROUND(Таб[[#This Row],[Зелений Тариф ЕЦ]]+Таб[[#This Row],[Зелений Тариф ЕЦ]]*Таб[[#This Row],[% надбавки]],4)</f>
        <v>0.15029999999999999</v>
      </c>
      <c r="S1098" s="12"/>
      <c r="T1098"/>
      <c r="BD10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76.509278929892204</v>
      </c>
      <c r="BE10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131.92802349201355</v>
      </c>
      <c r="BF10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222.57244779605003</v>
      </c>
      <c r="BG10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316.35801551656306</v>
      </c>
      <c r="BH10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389.50178364308755</v>
      </c>
      <c r="BI10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403.8612964041231</v>
      </c>
      <c r="BJ10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410.36795062396726</v>
      </c>
      <c r="BK10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354.72483867495475</v>
      </c>
      <c r="BL10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249.04779944920924</v>
      </c>
      <c r="BM10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159.97394685341095</v>
      </c>
      <c r="BN10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74.041237674089231</v>
      </c>
      <c r="BO10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62.598500942639077</v>
      </c>
      <c r="BP1098">
        <f>SUM(Таб[[#This Row],[1]:[12]])</f>
        <v>2851.4851199999998</v>
      </c>
    </row>
    <row r="1099" spans="2:68" ht="38.25">
      <c r="B1099" t="s">
        <v>384</v>
      </c>
      <c r="C1099" t="str">
        <f>IFERROR(VLOOKUP(Таб[[#This Row],[Зелений Тариф ЕЦ]],Sheet6!$H$9:$I$29,2,FALSE),"")</f>
        <v>Земля</v>
      </c>
      <c r="G1099" s="1" t="s">
        <v>1711</v>
      </c>
      <c r="H1099" t="s">
        <v>141</v>
      </c>
      <c r="J1099" s="7">
        <v>0.60299999999999998</v>
      </c>
      <c r="K1099" s="8">
        <v>43826</v>
      </c>
      <c r="L1099" s="8">
        <v>43875</v>
      </c>
      <c r="M1099">
        <v>2</v>
      </c>
      <c r="N1099" s="49" t="s">
        <v>67</v>
      </c>
      <c r="O1099">
        <v>2020</v>
      </c>
      <c r="P1099">
        <v>0.15029999999999999</v>
      </c>
      <c r="Q1099" s="10"/>
      <c r="R1099" s="11">
        <f>ROUND(Таб[[#This Row],[Зелений Тариф ЕЦ]]+Таб[[#This Row],[Зелений Тариф ЕЦ]]*Таб[[#This Row],[% надбавки]],4)</f>
        <v>0.15029999999999999</v>
      </c>
      <c r="S1099" s="12"/>
      <c r="T1099"/>
      <c r="BD10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19.417127607207494</v>
      </c>
      <c r="BE10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33.481733234715563</v>
      </c>
      <c r="BF10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56.486189402785428</v>
      </c>
      <c r="BG10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80.287829695491382</v>
      </c>
      <c r="BH10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98.850831454874495</v>
      </c>
      <c r="BI10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102.49510173892517</v>
      </c>
      <c r="BJ10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104.14641171138562</v>
      </c>
      <c r="BK10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90.024864360689264</v>
      </c>
      <c r="BL10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63.205312739003858</v>
      </c>
      <c r="BM10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40.599448633252024</v>
      </c>
      <c r="BN10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18.790768652136283</v>
      </c>
      <c r="BO10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15.8867407695334</v>
      </c>
      <c r="BP1099">
        <f>SUM(Таб[[#This Row],[1]:[12]])</f>
        <v>723.67235999999991</v>
      </c>
    </row>
    <row r="1100" spans="2:68" ht="38.25">
      <c r="B1100" t="s">
        <v>384</v>
      </c>
      <c r="C1100" t="str">
        <f>IFERROR(VLOOKUP(Таб[[#This Row],[Зелений Тариф ЕЦ]],Sheet6!$H$9:$I$29,2,FALSE),"")</f>
        <v>Земля</v>
      </c>
      <c r="G1100" s="1" t="s">
        <v>2592</v>
      </c>
      <c r="H1100" t="s">
        <v>255</v>
      </c>
      <c r="J1100" s="7">
        <v>0.49</v>
      </c>
      <c r="K1100" s="8">
        <v>43811</v>
      </c>
      <c r="L1100" s="8">
        <v>43875</v>
      </c>
      <c r="M1100">
        <v>2</v>
      </c>
      <c r="N1100" s="49" t="s">
        <v>67</v>
      </c>
      <c r="O1100">
        <v>2020</v>
      </c>
      <c r="P1100">
        <v>0.15029999999999999</v>
      </c>
      <c r="Q1100" s="10"/>
      <c r="R1100" s="11">
        <f>ROUND(Таб[[#This Row],[Зелений Тариф ЕЦ]]+Таб[[#This Row],[Зелений Тариф ЕЦ]]*Таб[[#This Row],[% надбавки]],4)</f>
        <v>0.15029999999999999</v>
      </c>
      <c r="S1100" s="12"/>
      <c r="T1100"/>
      <c r="BD11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15.778428735541743</v>
      </c>
      <c r="BE11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27.207378582107165</v>
      </c>
      <c r="BF11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45.900883594303245</v>
      </c>
      <c r="BG11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65.242183334644736</v>
      </c>
      <c r="BH11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80.326546290030677</v>
      </c>
      <c r="BI11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83.287893618695421</v>
      </c>
      <c r="BJ11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84.629754126996616</v>
      </c>
      <c r="BK11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73.154533228420803</v>
      </c>
      <c r="BL11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51.360867731528842</v>
      </c>
      <c r="BM11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32.991260083405457</v>
      </c>
      <c r="BN11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15.269447163427495</v>
      </c>
      <c r="BO11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12.909623510897788</v>
      </c>
      <c r="BP1100">
        <f>SUM(Таб[[#This Row],[1]:[12]])</f>
        <v>588.05879999999991</v>
      </c>
    </row>
    <row r="1101" spans="2:68" ht="76.5">
      <c r="B1101" t="s">
        <v>384</v>
      </c>
      <c r="C1101" t="str">
        <f>IFERROR(VLOOKUP(Таб[[#This Row],[Зелений Тариф ЕЦ]],Sheet6!$H$9:$I$29,2,FALSE),"")</f>
        <v>Дах</v>
      </c>
      <c r="G1101" s="1" t="s">
        <v>2594</v>
      </c>
      <c r="H1101" t="s">
        <v>73</v>
      </c>
      <c r="J1101" s="7">
        <v>0.6</v>
      </c>
      <c r="K1101" s="8">
        <v>43787</v>
      </c>
      <c r="L1101" s="8">
        <v>43875</v>
      </c>
      <c r="M1101">
        <v>2</v>
      </c>
      <c r="N1101" s="49" t="s">
        <v>67</v>
      </c>
      <c r="O1101">
        <v>2020</v>
      </c>
      <c r="P1101">
        <v>0.16370000000000001</v>
      </c>
      <c r="Q1101" s="10"/>
      <c r="R1101" s="11">
        <f>ROUND(Таб[[#This Row],[Зелений Тариф ЕЦ]]+Таб[[#This Row],[Зелений Тариф ЕЦ]]*Таб[[#This Row],[% надбавки]],4)</f>
        <v>0.16370000000000001</v>
      </c>
      <c r="S1101" s="12"/>
      <c r="T1101"/>
      <c r="BD11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19.320524982296014</v>
      </c>
      <c r="BE11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33.315157447478164</v>
      </c>
      <c r="BF11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56.205163584861126</v>
      </c>
      <c r="BG11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79.888387756707843</v>
      </c>
      <c r="BH11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98.359036273506945</v>
      </c>
      <c r="BI11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101.98517585962703</v>
      </c>
      <c r="BJ11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103.6282703595877</v>
      </c>
      <c r="BK11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89.576979463372425</v>
      </c>
      <c r="BL11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62.890858446770011</v>
      </c>
      <c r="BM11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40.397461326618931</v>
      </c>
      <c r="BN11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18.697282240931624</v>
      </c>
      <c r="BO11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15.807702258242191</v>
      </c>
      <c r="BP1101">
        <f>SUM(Таб[[#This Row],[1]:[12]])</f>
        <v>720.072</v>
      </c>
    </row>
    <row r="1102" spans="2:68" ht="38.25">
      <c r="B1102" t="s">
        <v>384</v>
      </c>
      <c r="C1102" t="str">
        <f>IFERROR(VLOOKUP(Таб[[#This Row],[Зелений Тариф ЕЦ]],Sheet6!$H$9:$I$29,2,FALSE),"")</f>
        <v>Дах</v>
      </c>
      <c r="G1102" s="1" t="s">
        <v>2596</v>
      </c>
      <c r="H1102" t="s">
        <v>98</v>
      </c>
      <c r="J1102" s="7">
        <v>0.52200000000000002</v>
      </c>
      <c r="K1102" s="8">
        <v>43811</v>
      </c>
      <c r="L1102" s="8">
        <v>43875</v>
      </c>
      <c r="M1102">
        <v>2</v>
      </c>
      <c r="N1102" s="49" t="s">
        <v>67</v>
      </c>
      <c r="O1102">
        <v>2020</v>
      </c>
      <c r="P1102">
        <v>0.16370000000000001</v>
      </c>
      <c r="Q1102" s="10"/>
      <c r="R1102" s="11">
        <f>ROUND(Таб[[#This Row],[Зелений Тариф ЕЦ]]+Таб[[#This Row],[Зелений Тариф ЕЦ]]*Таб[[#This Row],[% надбавки]],4)</f>
        <v>0.16370000000000001</v>
      </c>
      <c r="S1102" s="12"/>
      <c r="T1102"/>
      <c r="BD11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16.808856734597533</v>
      </c>
      <c r="BE11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28.984186979306006</v>
      </c>
      <c r="BF11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48.89849231882917</v>
      </c>
      <c r="BG11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69.502897348335821</v>
      </c>
      <c r="BH11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85.572361557951055</v>
      </c>
      <c r="BI11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88.727102997875534</v>
      </c>
      <c r="BJ11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90.156595212841296</v>
      </c>
      <c r="BK11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77.931972133133996</v>
      </c>
      <c r="BL11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54.715046848689909</v>
      </c>
      <c r="BM11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35.145791354158469</v>
      </c>
      <c r="BN11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16.266635549610516</v>
      </c>
      <c r="BO11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13.752700964670707</v>
      </c>
      <c r="BP1102">
        <f>SUM(Таб[[#This Row],[1]:[12]])</f>
        <v>626.46264000000008</v>
      </c>
    </row>
    <row r="1103" spans="2:68" ht="38.25">
      <c r="B1103" t="s">
        <v>384</v>
      </c>
      <c r="C1103" t="str">
        <f>IFERROR(VLOOKUP(Таб[[#This Row],[Зелений Тариф ЕЦ]],Sheet6!$H$9:$I$29,2,FALSE),"")</f>
        <v>Дах</v>
      </c>
      <c r="G1103" s="1" t="s">
        <v>2598</v>
      </c>
      <c r="H1103" t="s">
        <v>198</v>
      </c>
      <c r="J1103" s="7">
        <v>1.147</v>
      </c>
      <c r="K1103" s="8">
        <v>43815</v>
      </c>
      <c r="L1103" s="8">
        <v>43875</v>
      </c>
      <c r="M1103">
        <v>2</v>
      </c>
      <c r="N1103" s="49" t="s">
        <v>67</v>
      </c>
      <c r="O1103">
        <v>2020</v>
      </c>
      <c r="P1103">
        <v>0.16370000000000001</v>
      </c>
      <c r="Q1103" s="10"/>
      <c r="R1103" s="11">
        <f>ROUND(Таб[[#This Row],[Зелений Тариф ЕЦ]]+Таб[[#This Row],[Зелений Тариф ЕЦ]]*Таб[[#This Row],[% надбавки]],4)</f>
        <v>0.16370000000000001</v>
      </c>
      <c r="S1103" s="12"/>
      <c r="T1103"/>
      <c r="BD11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36.934403591155878</v>
      </c>
      <c r="BE11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63.687475987095766</v>
      </c>
      <c r="BF11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107.44553771972619</v>
      </c>
      <c r="BG11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152.71996792823984</v>
      </c>
      <c r="BH11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188.02969100952083</v>
      </c>
      <c r="BI11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194.96166118498701</v>
      </c>
      <c r="BJ11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198.10271017074518</v>
      </c>
      <c r="BK11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171.24132574081361</v>
      </c>
      <c r="BL11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120.22635773074201</v>
      </c>
      <c r="BM11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77.226480236053192</v>
      </c>
      <c r="BN11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35.742971217247629</v>
      </c>
      <c r="BO11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30.219057483672984</v>
      </c>
      <c r="BP1103">
        <f>SUM(Таб[[#This Row],[1]:[12]])</f>
        <v>1376.5376400000002</v>
      </c>
    </row>
    <row r="1104" spans="2:68" ht="38.25">
      <c r="B1104" t="s">
        <v>384</v>
      </c>
      <c r="C1104" t="str">
        <f>IFERROR(VLOOKUP(Таб[[#This Row],[Зелений Тариф ЕЦ]],Sheet6!$H$9:$I$29,2,FALSE),"")</f>
        <v>Земля</v>
      </c>
      <c r="G1104" s="1" t="s">
        <v>2600</v>
      </c>
      <c r="H1104" t="s">
        <v>65</v>
      </c>
      <c r="J1104" s="7">
        <v>2.1389999999999998</v>
      </c>
      <c r="K1104" s="8">
        <v>43820</v>
      </c>
      <c r="L1104" s="8">
        <v>43879</v>
      </c>
      <c r="M1104">
        <v>2</v>
      </c>
      <c r="N1104" s="49" t="s">
        <v>67</v>
      </c>
      <c r="O1104">
        <v>2020</v>
      </c>
      <c r="P1104">
        <v>0.15029999999999999</v>
      </c>
      <c r="Q1104" s="10"/>
      <c r="R1104" s="11">
        <f>ROUND(Таб[[#This Row],[Зелений Тариф ЕЦ]]+Таб[[#This Row],[Зелений Тариф ЕЦ]]*Таб[[#This Row],[% надбавки]],4)</f>
        <v>0.15029999999999999</v>
      </c>
      <c r="S1104" s="12"/>
      <c r="T1104"/>
      <c r="BD11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68.877671561885293</v>
      </c>
      <c r="BE11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118.76853630025965</v>
      </c>
      <c r="BF11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200.37140818002985</v>
      </c>
      <c r="BG11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284.80210235266344</v>
      </c>
      <c r="BH11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350.64996431505227</v>
      </c>
      <c r="BI11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363.5771519395704</v>
      </c>
      <c r="BJ11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369.43478383193008</v>
      </c>
      <c r="BK11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319.34193178692266</v>
      </c>
      <c r="BL11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224.2059103627351</v>
      </c>
      <c r="BM11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144.01694962939646</v>
      </c>
      <c r="BN11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66.655811188921234</v>
      </c>
      <c r="BO11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56.35445855063341</v>
      </c>
      <c r="BP1104">
        <f>SUM(Таб[[#This Row],[1]:[12]])</f>
        <v>2567.0566799999997</v>
      </c>
    </row>
    <row r="1105" spans="2:68" ht="51">
      <c r="B1105" t="s">
        <v>384</v>
      </c>
      <c r="C1105" t="str">
        <f>IFERROR(VLOOKUP(Таб[[#This Row],[Зелений Тариф ЕЦ]],Sheet6!$H$9:$I$29,2,FALSE),"")</f>
        <v>Земля</v>
      </c>
      <c r="G1105" s="1" t="s">
        <v>2602</v>
      </c>
      <c r="H1105" t="s">
        <v>233</v>
      </c>
      <c r="J1105" s="7">
        <v>6.0590000000000002</v>
      </c>
      <c r="K1105" s="8">
        <v>43819</v>
      </c>
      <c r="L1105" s="8">
        <v>43879</v>
      </c>
      <c r="M1105">
        <v>2</v>
      </c>
      <c r="N1105" s="49" t="s">
        <v>67</v>
      </c>
      <c r="O1105">
        <v>2020</v>
      </c>
      <c r="P1105">
        <v>0.15029999999999999</v>
      </c>
      <c r="Q1105" s="10"/>
      <c r="R1105" s="11">
        <f>ROUND(Таб[[#This Row],[Зелений Тариф ЕЦ]]+Таб[[#This Row],[Зелений Тариф ЕЦ]]*Таб[[#This Row],[% надбавки]],4)</f>
        <v>0.15029999999999999</v>
      </c>
      <c r="S1105" s="12"/>
      <c r="T1105"/>
      <c r="BD11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195.10510144621927</v>
      </c>
      <c r="BE11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336.42756495711706</v>
      </c>
      <c r="BF11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567.57847693445592</v>
      </c>
      <c r="BG11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806.73956902982127</v>
      </c>
      <c r="BH11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993.26233463529786</v>
      </c>
      <c r="BI11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1029.8803008891339</v>
      </c>
      <c r="BJ11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1046.472816847903</v>
      </c>
      <c r="BK11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904.57819761428925</v>
      </c>
      <c r="BL11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635.09285221496589</v>
      </c>
      <c r="BM11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407.94703029664015</v>
      </c>
      <c r="BN11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188.81138849634124</v>
      </c>
      <c r="BO11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159.63144663781571</v>
      </c>
      <c r="BP1105">
        <f>SUM(Таб[[#This Row],[1]:[12]])</f>
        <v>7271.5270800000008</v>
      </c>
    </row>
    <row r="1106" spans="2:68" ht="38.25">
      <c r="B1106" t="s">
        <v>384</v>
      </c>
      <c r="C1106" t="str">
        <f>IFERROR(VLOOKUP(Таб[[#This Row],[Зелений Тариф ЕЦ]],Sheet6!$H$9:$I$29,2,FALSE),"")</f>
        <v>Земля</v>
      </c>
      <c r="G1106" s="1" t="s">
        <v>2604</v>
      </c>
      <c r="H1106" t="s">
        <v>141</v>
      </c>
      <c r="J1106" s="7">
        <v>6.2510000000000003</v>
      </c>
      <c r="K1106" s="8">
        <v>43845</v>
      </c>
      <c r="L1106" s="8">
        <v>43879</v>
      </c>
      <c r="M1106">
        <v>2</v>
      </c>
      <c r="N1106" s="49" t="s">
        <v>67</v>
      </c>
      <c r="O1106">
        <v>2020</v>
      </c>
      <c r="P1106">
        <v>0.11260000000000001</v>
      </c>
      <c r="Q1106" s="10"/>
      <c r="R1106" s="11">
        <f>ROUND(Таб[[#This Row],[Зелений Тариф ЕЦ]]+Таб[[#This Row],[Зелений Тариф ЕЦ]]*Таб[[#This Row],[% надбавки]],4)</f>
        <v>0.11260000000000001</v>
      </c>
      <c r="S1106" s="12"/>
      <c r="T1106"/>
      <c r="BD11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201.28766944055394</v>
      </c>
      <c r="BE11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347.08841534031006</v>
      </c>
      <c r="BF11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585.56412928161149</v>
      </c>
      <c r="BG11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832.30385311196778</v>
      </c>
      <c r="BH11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1024.7372262428203</v>
      </c>
      <c r="BI11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1062.5155571642144</v>
      </c>
      <c r="BJ11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1079.6338633629712</v>
      </c>
      <c r="BK11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933.24283104256847</v>
      </c>
      <c r="BL11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655.21792691793235</v>
      </c>
      <c r="BM11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420.87421792115822</v>
      </c>
      <c r="BN11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194.79451881343934</v>
      </c>
      <c r="BO11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164.68991136045324</v>
      </c>
      <c r="BP1106">
        <f>SUM(Таб[[#This Row],[1]:[12]])</f>
        <v>7501.9501200000004</v>
      </c>
    </row>
    <row r="1107" spans="2:68" ht="63.75">
      <c r="B1107" t="s">
        <v>384</v>
      </c>
      <c r="C1107" t="str">
        <f>IFERROR(VLOOKUP(Таб[[#This Row],[Зелений Тариф ЕЦ]],Sheet6!$H$9:$I$29,2,FALSE),"")</f>
        <v>Дах</v>
      </c>
      <c r="G1107" s="1" t="s">
        <v>2606</v>
      </c>
      <c r="H1107" t="s">
        <v>1465</v>
      </c>
      <c r="J1107" s="7">
        <v>0.2</v>
      </c>
      <c r="K1107" s="8">
        <v>43840</v>
      </c>
      <c r="L1107" s="8">
        <v>43879</v>
      </c>
      <c r="M1107">
        <v>2</v>
      </c>
      <c r="N1107" s="49" t="s">
        <v>67</v>
      </c>
      <c r="O1107">
        <v>2020</v>
      </c>
      <c r="P1107">
        <v>0.12280000000000001</v>
      </c>
      <c r="Q1107" s="10"/>
      <c r="R1107" s="11">
        <f>ROUND(Таб[[#This Row],[Зелений Тариф ЕЦ]]+Таб[[#This Row],[Зелений Тариф ЕЦ]]*Таб[[#This Row],[% надбавки]],4)</f>
        <v>0.12280000000000001</v>
      </c>
      <c r="S1107" s="12"/>
      <c r="T1107"/>
      <c r="BD11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6.4401749940986726</v>
      </c>
      <c r="BE11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11.105052482492724</v>
      </c>
      <c r="BF11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18.735054528287041</v>
      </c>
      <c r="BG11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26.629462585569279</v>
      </c>
      <c r="BH11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32.786345424502322</v>
      </c>
      <c r="BI11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33.995058619875678</v>
      </c>
      <c r="BJ11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34.542756786529232</v>
      </c>
      <c r="BK11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29.858993154457472</v>
      </c>
      <c r="BL11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20.963619482256675</v>
      </c>
      <c r="BM11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13.465820442206311</v>
      </c>
      <c r="BN11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6.232427413643876</v>
      </c>
      <c r="BO11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5.269234086080731</v>
      </c>
      <c r="BP1107">
        <f>SUM(Таб[[#This Row],[1]:[12]])</f>
        <v>240.02399999999997</v>
      </c>
    </row>
    <row r="1108" spans="2:68" ht="51">
      <c r="B1108" t="s">
        <v>384</v>
      </c>
      <c r="C1108" t="str">
        <f>IFERROR(VLOOKUP(Таб[[#This Row],[Зелений Тариф ЕЦ]],Sheet6!$H$9:$I$29,2,FALSE),"")</f>
        <v>Земля</v>
      </c>
      <c r="G1108" s="1" t="s">
        <v>2608</v>
      </c>
      <c r="H1108" t="s">
        <v>176</v>
      </c>
      <c r="J1108" s="7">
        <v>3.077</v>
      </c>
      <c r="K1108" s="8">
        <v>43820</v>
      </c>
      <c r="L1108" s="8">
        <v>43879</v>
      </c>
      <c r="M1108">
        <v>2</v>
      </c>
      <c r="N1108" s="49" t="s">
        <v>67</v>
      </c>
      <c r="O1108">
        <v>2020</v>
      </c>
      <c r="P1108">
        <v>0.15029999999999999</v>
      </c>
      <c r="Q1108" s="10"/>
      <c r="R1108" s="11">
        <f>ROUND(Таб[[#This Row],[Зелений Тариф ЕЦ]]+Таб[[#This Row],[Зелений Тариф ЕЦ]]*Таб[[#This Row],[% надбавки]],4)</f>
        <v>0.15029999999999999</v>
      </c>
      <c r="S1108" s="12"/>
      <c r="T1108"/>
      <c r="BD11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99.082092284208045</v>
      </c>
      <c r="BE11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170.85123244315054</v>
      </c>
      <c r="BF11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288.23881391769612</v>
      </c>
      <c r="BG11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409.69428187898336</v>
      </c>
      <c r="BH11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504.41792435596824</v>
      </c>
      <c r="BI11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523.01397686678729</v>
      </c>
      <c r="BJ11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531.44031316075223</v>
      </c>
      <c r="BK11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459.38060968132822</v>
      </c>
      <c r="BL11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322.52528573451889</v>
      </c>
      <c r="BM11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207.1716475033441</v>
      </c>
      <c r="BN11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95.885895758911005</v>
      </c>
      <c r="BO11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81.06716641435203</v>
      </c>
      <c r="BP1108">
        <f>SUM(Таб[[#This Row],[1]:[12]])</f>
        <v>3692.7692400000001</v>
      </c>
    </row>
    <row r="1109" spans="2:68" ht="51">
      <c r="B1109" t="s">
        <v>384</v>
      </c>
      <c r="C1109" t="str">
        <f>IFERROR(VLOOKUP(Таб[[#This Row],[Зелений Тариф ЕЦ]],Sheet6!$H$9:$I$29,2,FALSE),"")</f>
        <v>Дах</v>
      </c>
      <c r="G1109" s="1" t="s">
        <v>2045</v>
      </c>
      <c r="H1109" t="s">
        <v>69</v>
      </c>
      <c r="J1109" s="7">
        <v>0.52300000000000002</v>
      </c>
      <c r="K1109" s="8">
        <v>43801</v>
      </c>
      <c r="L1109" s="8">
        <v>43879</v>
      </c>
      <c r="M1109">
        <v>2</v>
      </c>
      <c r="N1109" s="49" t="s">
        <v>67</v>
      </c>
      <c r="O1109">
        <v>2020</v>
      </c>
      <c r="P1109">
        <v>0.16370000000000001</v>
      </c>
      <c r="Q1109" s="10"/>
      <c r="R1109" s="11">
        <f>ROUND(Таб[[#This Row],[Зелений Тариф ЕЦ]]+Таб[[#This Row],[Зелений Тариф ЕЦ]]*Таб[[#This Row],[% надбавки]],4)</f>
        <v>0.16370000000000001</v>
      </c>
      <c r="S1109" s="12"/>
      <c r="T1109"/>
      <c r="BD11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16.841057609568026</v>
      </c>
      <c r="BE11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29.039712241718469</v>
      </c>
      <c r="BF11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48.992167591470604</v>
      </c>
      <c r="BG11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69.636044661263668</v>
      </c>
      <c r="BH11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85.736293285073572</v>
      </c>
      <c r="BI11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88.897078290974918</v>
      </c>
      <c r="BJ11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90.329308996773932</v>
      </c>
      <c r="BK11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78.081267098906295</v>
      </c>
      <c r="BL11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54.819864946101205</v>
      </c>
      <c r="BM11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35.213120456369502</v>
      </c>
      <c r="BN11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16.297797686678734</v>
      </c>
      <c r="BO11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13.779047135101109</v>
      </c>
      <c r="BP1109">
        <f>SUM(Таб[[#This Row],[1]:[12]])</f>
        <v>627.66276000000016</v>
      </c>
    </row>
    <row r="1110" spans="2:68" ht="76.5">
      <c r="B1110" t="s">
        <v>384</v>
      </c>
      <c r="C1110" t="str">
        <f>IFERROR(VLOOKUP(Таб[[#This Row],[Зелений Тариф ЕЦ]],Sheet6!$H$9:$I$29,2,FALSE),"")</f>
        <v>Земля</v>
      </c>
      <c r="G1110" s="1" t="s">
        <v>2611</v>
      </c>
      <c r="H1110" t="s">
        <v>107</v>
      </c>
      <c r="J1110" s="7">
        <v>5.8319999999999999</v>
      </c>
      <c r="K1110" s="8">
        <v>43780</v>
      </c>
      <c r="L1110" s="8">
        <v>43879</v>
      </c>
      <c r="M1110">
        <v>2</v>
      </c>
      <c r="N1110" s="49" t="s">
        <v>67</v>
      </c>
      <c r="O1110">
        <v>2020</v>
      </c>
      <c r="P1110">
        <v>0.15029999999999999</v>
      </c>
      <c r="Q1110" s="10"/>
      <c r="R1110" s="11">
        <f>ROUND(Таб[[#This Row],[Зелений Тариф ЕЦ]]+Таб[[#This Row],[Зелений Тариф ЕЦ]]*Таб[[#This Row],[% надбавки]],4)</f>
        <v>0.15029999999999999</v>
      </c>
      <c r="S1110" s="12"/>
      <c r="T1110"/>
      <c r="BD11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187.79550282791726</v>
      </c>
      <c r="BE11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323.82333038948775</v>
      </c>
      <c r="BF11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546.31419004484997</v>
      </c>
      <c r="BG11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776.51512899520026</v>
      </c>
      <c r="BH11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956.04983257848767</v>
      </c>
      <c r="BI11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991.29590935557485</v>
      </c>
      <c r="BJ11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1007.2667878951924</v>
      </c>
      <c r="BK11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870.68824038397975</v>
      </c>
      <c r="BL11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611.29914410260449</v>
      </c>
      <c r="BM11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392.66332409473597</v>
      </c>
      <c r="BN11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181.73758338185542</v>
      </c>
      <c r="BO11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153.65086595011411</v>
      </c>
      <c r="BP1110">
        <f>SUM(Таб[[#This Row],[1]:[12]])</f>
        <v>6999.0998399999999</v>
      </c>
    </row>
    <row r="1111" spans="2:68" ht="51">
      <c r="B1111" t="s">
        <v>384</v>
      </c>
      <c r="C1111" t="str">
        <f>IFERROR(VLOOKUP(Таб[[#This Row],[Зелений Тариф ЕЦ]],Sheet6!$H$9:$I$29,2,FALSE),"")</f>
        <v>Земля</v>
      </c>
      <c r="D1111" t="s">
        <v>3371</v>
      </c>
      <c r="E1111" t="s">
        <v>3371</v>
      </c>
      <c r="F1111" t="s">
        <v>3286</v>
      </c>
      <c r="G1111" s="1" t="s">
        <v>2613</v>
      </c>
      <c r="H1111" t="s">
        <v>107</v>
      </c>
      <c r="J1111" s="7">
        <v>54.264000000000003</v>
      </c>
      <c r="K1111" s="8">
        <v>43808</v>
      </c>
      <c r="L1111" s="8">
        <v>43882</v>
      </c>
      <c r="M1111">
        <v>2</v>
      </c>
      <c r="N1111" s="49" t="s">
        <v>67</v>
      </c>
      <c r="O1111">
        <v>2020</v>
      </c>
      <c r="P1111">
        <v>0.15029999999999999</v>
      </c>
      <c r="Q1111" s="10"/>
      <c r="R1111" s="11">
        <f>ROUND(Таб[[#This Row],[Зелений Тариф ЕЦ]]+Таб[[#This Row],[Зелений Тариф ЕЦ]]*Таб[[#This Row],[% надбавки]],4)</f>
        <v>0.15029999999999999</v>
      </c>
      <c r="S1111" s="12"/>
      <c r="T1111"/>
      <c r="BD11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1747.3482793988514</v>
      </c>
      <c r="BE11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3013.0228395499257</v>
      </c>
      <c r="BF11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5083.1949946148397</v>
      </c>
      <c r="BG11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7225.1057887166571</v>
      </c>
      <c r="BH11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8895.59124057597</v>
      </c>
      <c r="BI11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9223.5393047446705</v>
      </c>
      <c r="BJ11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9372.1407713211102</v>
      </c>
      <c r="BK11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8101.3420226674025</v>
      </c>
      <c r="BL11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5687.8492379258805</v>
      </c>
      <c r="BM11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3653.5464023794161</v>
      </c>
      <c r="BN11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1690.9822058698564</v>
      </c>
      <c r="BO11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1429.6485922354238</v>
      </c>
      <c r="BP1111">
        <f>SUM(Таб[[#This Row],[1]:[12]])</f>
        <v>65123.311680000013</v>
      </c>
    </row>
    <row r="1112" spans="2:68" ht="38.25">
      <c r="B1112" t="s">
        <v>384</v>
      </c>
      <c r="C1112" t="str">
        <f>IFERROR(VLOOKUP(Таб[[#This Row],[Зелений Тариф ЕЦ]],Sheet6!$H$9:$I$29,2,FALSE),"")</f>
        <v>Земля</v>
      </c>
      <c r="D1112" t="s">
        <v>3444</v>
      </c>
      <c r="F1112" t="s">
        <v>3440</v>
      </c>
      <c r="G1112" s="1" t="s">
        <v>2615</v>
      </c>
      <c r="H1112" t="s">
        <v>65</v>
      </c>
      <c r="J1112" s="7">
        <v>11.592000000000001</v>
      </c>
      <c r="K1112" s="8">
        <v>43827</v>
      </c>
      <c r="L1112" s="8">
        <v>43882</v>
      </c>
      <c r="M1112">
        <v>2</v>
      </c>
      <c r="N1112" s="49" t="s">
        <v>67</v>
      </c>
      <c r="O1112">
        <v>2020</v>
      </c>
      <c r="P1112">
        <v>0.15029999999999999</v>
      </c>
      <c r="Q1112" s="10"/>
      <c r="R1112" s="11">
        <f>ROUND(Таб[[#This Row],[Зелений Тариф ЕЦ]]+Таб[[#This Row],[Зелений Тариф ЕЦ]]*Таб[[#This Row],[% надбавки]],4)</f>
        <v>0.15029999999999999</v>
      </c>
      <c r="S1112" s="12"/>
      <c r="T1112"/>
      <c r="BD11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373.27254265795904</v>
      </c>
      <c r="BE11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643.64884188527822</v>
      </c>
      <c r="BF11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1085.8837604595169</v>
      </c>
      <c r="BG11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1543.4436514595955</v>
      </c>
      <c r="BH11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1900.2965808041549</v>
      </c>
      <c r="BI11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1970.3535976079947</v>
      </c>
      <c r="BJ11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2002.0981833472342</v>
      </c>
      <c r="BK11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1730.6272432323551</v>
      </c>
      <c r="BL11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1215.0513851915966</v>
      </c>
      <c r="BM11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780.47895283027765</v>
      </c>
      <c r="BN11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361.23149289479903</v>
      </c>
      <c r="BO11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305.40480762923914</v>
      </c>
      <c r="BP1112">
        <f>SUM(Таб[[#This Row],[1]:[12]])</f>
        <v>13911.79104</v>
      </c>
    </row>
    <row r="1113" spans="2:68" ht="38.25">
      <c r="B1113" t="s">
        <v>384</v>
      </c>
      <c r="C1113" t="str">
        <f>IFERROR(VLOOKUP(Таб[[#This Row],[Зелений Тариф ЕЦ]],Sheet6!$H$9:$I$29,2,FALSE),"")</f>
        <v>Земля</v>
      </c>
      <c r="G1113" s="1" t="s">
        <v>2617</v>
      </c>
      <c r="H1113" t="s">
        <v>101</v>
      </c>
      <c r="J1113" s="7">
        <v>6.1630000000000003</v>
      </c>
      <c r="K1113" s="8">
        <v>43843</v>
      </c>
      <c r="L1113" s="8">
        <v>43882</v>
      </c>
      <c r="M1113">
        <v>2</v>
      </c>
      <c r="N1113" s="49" t="s">
        <v>67</v>
      </c>
      <c r="O1113">
        <v>2020</v>
      </c>
      <c r="P1113">
        <v>0.11260000000000001</v>
      </c>
      <c r="Q1113" s="10"/>
      <c r="R1113" s="11">
        <f>ROUND(Таб[[#This Row],[Зелений Тариф ЕЦ]]+Таб[[#This Row],[Зелений Тариф ЕЦ]]*Таб[[#This Row],[% надбавки]],4)</f>
        <v>0.11260000000000001</v>
      </c>
      <c r="S1113" s="12"/>
      <c r="T1113"/>
      <c r="BD11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198.45399244315058</v>
      </c>
      <c r="BE11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342.20219224801326</v>
      </c>
      <c r="BF11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577.32070528916506</v>
      </c>
      <c r="BG11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820.58688957431741</v>
      </c>
      <c r="BH11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1010.3112342560389</v>
      </c>
      <c r="BI11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1047.5577313714693</v>
      </c>
      <c r="BJ11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1064.4350503768983</v>
      </c>
      <c r="BK11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920.10487405460708</v>
      </c>
      <c r="BL11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645.99393434573938</v>
      </c>
      <c r="BM11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414.9492569265874</v>
      </c>
      <c r="BN11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192.05225075143602</v>
      </c>
      <c r="BO11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162.37144836257772</v>
      </c>
      <c r="BP1113">
        <f>SUM(Таб[[#This Row],[1]:[12]])</f>
        <v>7396.3395600000013</v>
      </c>
    </row>
    <row r="1114" spans="2:68" ht="25.5">
      <c r="B1114" t="s">
        <v>384</v>
      </c>
      <c r="C1114" t="str">
        <f>IFERROR(VLOOKUP(Таб[[#This Row],[Зелений Тариф ЕЦ]],Sheet6!$H$9:$I$29,2,FALSE),"")</f>
        <v>Земля</v>
      </c>
      <c r="G1114" s="1" t="s">
        <v>2619</v>
      </c>
      <c r="H1114" t="s">
        <v>65</v>
      </c>
      <c r="J1114" s="7">
        <v>7.883</v>
      </c>
      <c r="K1114" s="8">
        <v>43827</v>
      </c>
      <c r="L1114" s="8">
        <v>43882</v>
      </c>
      <c r="M1114">
        <v>2</v>
      </c>
      <c r="N1114" s="49" t="s">
        <v>67</v>
      </c>
      <c r="O1114">
        <v>2020</v>
      </c>
      <c r="P1114">
        <v>0.15029999999999999</v>
      </c>
      <c r="Q1114" s="10"/>
      <c r="R1114" s="11">
        <f>ROUND(Таб[[#This Row],[Зелений Тариф ЕЦ]]+Таб[[#This Row],[Зелений Тариф ЕЦ]]*Таб[[#This Row],[% надбавки]],4)</f>
        <v>0.15029999999999999</v>
      </c>
      <c r="S1114" s="12"/>
      <c r="T1114"/>
      <c r="BD11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253.8394973923991</v>
      </c>
      <c r="BE11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437.7056435974506</v>
      </c>
      <c r="BF11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738.44217423243367</v>
      </c>
      <c r="BG11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1049.6002678102134</v>
      </c>
      <c r="BH11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1292.2738049067589</v>
      </c>
      <c r="BI11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1339.9152355023998</v>
      </c>
      <c r="BJ11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1361.5027587410495</v>
      </c>
      <c r="BK11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1176.8922151829413</v>
      </c>
      <c r="BL11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826.28106189314667</v>
      </c>
      <c r="BM11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530.75531272956164</v>
      </c>
      <c r="BN11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245.65112650877336</v>
      </c>
      <c r="BO11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207.68686150287198</v>
      </c>
      <c r="BP1114">
        <f>SUM(Таб[[#This Row],[1]:[12]])</f>
        <v>9460.5459600000013</v>
      </c>
    </row>
    <row r="1115" spans="2:68" ht="63.75">
      <c r="B1115" t="s">
        <v>384</v>
      </c>
      <c r="C1115" t="str">
        <f>IFERROR(VLOOKUP(Таб[[#This Row],[Зелений Тариф ЕЦ]],Sheet6!$H$9:$I$29,2,FALSE),"")</f>
        <v>Земля</v>
      </c>
      <c r="G1115" s="1" t="s">
        <v>2621</v>
      </c>
      <c r="H1115" t="s">
        <v>172</v>
      </c>
      <c r="J1115" s="7">
        <v>0.20100000000000001</v>
      </c>
      <c r="K1115" s="8">
        <v>43844</v>
      </c>
      <c r="L1115" s="8">
        <v>43882</v>
      </c>
      <c r="M1115">
        <v>2</v>
      </c>
      <c r="N1115" s="49" t="s">
        <v>67</v>
      </c>
      <c r="O1115">
        <v>2020</v>
      </c>
      <c r="P1115">
        <v>0.11260000000000001</v>
      </c>
      <c r="Q1115" s="10"/>
      <c r="R1115" s="11">
        <f>ROUND(Таб[[#This Row],[Зелений Тариф ЕЦ]]+Таб[[#This Row],[Зелений Тариф ЕЦ]]*Таб[[#This Row],[% надбавки]],4)</f>
        <v>0.11260000000000001</v>
      </c>
      <c r="S1115" s="12"/>
      <c r="T1115"/>
      <c r="BD11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6.4723758690691637</v>
      </c>
      <c r="BE11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11.160577744905186</v>
      </c>
      <c r="BF11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18.828729800928475</v>
      </c>
      <c r="BG11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26.762609898497132</v>
      </c>
      <c r="BH11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32.950277151624839</v>
      </c>
      <c r="BI11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34.165033912975062</v>
      </c>
      <c r="BJ11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34.715470570461875</v>
      </c>
      <c r="BK11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30.008288120229757</v>
      </c>
      <c r="BL11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21.068437579667957</v>
      </c>
      <c r="BM11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13.533149544417343</v>
      </c>
      <c r="BN11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6.2635895507120942</v>
      </c>
      <c r="BO11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5.2955802565111334</v>
      </c>
      <c r="BP1115">
        <f>SUM(Таб[[#This Row],[1]:[12]])</f>
        <v>241.22412000000006</v>
      </c>
    </row>
    <row r="1116" spans="2:68" ht="38.25">
      <c r="B1116" t="s">
        <v>384</v>
      </c>
      <c r="C1116" t="str">
        <f>IFERROR(VLOOKUP(Таб[[#This Row],[Зелений Тариф ЕЦ]],Sheet6!$H$9:$I$29,2,FALSE),"")</f>
        <v>Дах</v>
      </c>
      <c r="G1116" s="1" t="s">
        <v>2623</v>
      </c>
      <c r="H1116" t="s">
        <v>65</v>
      </c>
      <c r="J1116" s="7">
        <v>0.51800000000000002</v>
      </c>
      <c r="K1116" s="8">
        <v>43792</v>
      </c>
      <c r="L1116" s="8">
        <v>43882</v>
      </c>
      <c r="M1116">
        <v>2</v>
      </c>
      <c r="N1116" s="49" t="s">
        <v>67</v>
      </c>
      <c r="O1116">
        <v>2020</v>
      </c>
      <c r="P1116">
        <v>0.16370000000000001</v>
      </c>
      <c r="Q1116" s="10"/>
      <c r="R1116" s="11">
        <f>ROUND(Таб[[#This Row],[Зелений Тариф ЕЦ]]+Таб[[#This Row],[Зелений Тариф ЕЦ]]*Таб[[#This Row],[% надбавки]],4)</f>
        <v>0.16370000000000001</v>
      </c>
      <c r="S1116" s="12"/>
      <c r="T1116"/>
      <c r="BD11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16.680053234715558</v>
      </c>
      <c r="BE11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28.762085929656152</v>
      </c>
      <c r="BF11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48.523791228263441</v>
      </c>
      <c r="BG11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68.97030809662445</v>
      </c>
      <c r="BH11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84.916634649461017</v>
      </c>
      <c r="BI11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88.047201825478012</v>
      </c>
      <c r="BJ11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89.465740077110709</v>
      </c>
      <c r="BK11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77.334792270044858</v>
      </c>
      <c r="BL11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54.295774459044779</v>
      </c>
      <c r="BM11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34.876474945314342</v>
      </c>
      <c r="BN11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16.141987001337636</v>
      </c>
      <c r="BO11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13.647316282949092</v>
      </c>
      <c r="BP1116">
        <f>SUM(Таб[[#This Row],[1]:[12]])</f>
        <v>621.66215999999997</v>
      </c>
    </row>
    <row r="1117" spans="2:68" ht="38.25">
      <c r="B1117" t="s">
        <v>384</v>
      </c>
      <c r="C1117" t="str">
        <f>IFERROR(VLOOKUP(Таб[[#This Row],[Зелений Тариф ЕЦ]],Sheet6!$H$9:$I$29,2,FALSE),"")</f>
        <v>Дах</v>
      </c>
      <c r="G1117" s="1" t="s">
        <v>2625</v>
      </c>
      <c r="H1117" t="s">
        <v>255</v>
      </c>
      <c r="J1117" s="7">
        <v>0.57099999999999995</v>
      </c>
      <c r="K1117" s="8">
        <v>43798</v>
      </c>
      <c r="L1117" s="8">
        <v>43882</v>
      </c>
      <c r="M1117">
        <v>2</v>
      </c>
      <c r="N1117" s="49" t="s">
        <v>67</v>
      </c>
      <c r="O1117">
        <v>2020</v>
      </c>
      <c r="P1117">
        <v>0.16370000000000001</v>
      </c>
      <c r="Q1117" s="10"/>
      <c r="R1117" s="11">
        <f>ROUND(Таб[[#This Row],[Зелений Тариф ЕЦ]]+Таб[[#This Row],[Зелений Тариф ЕЦ]]*Таб[[#This Row],[% надбавки]],4)</f>
        <v>0.16370000000000001</v>
      </c>
      <c r="S1117" s="12"/>
      <c r="T1117"/>
      <c r="BD11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18.386699608151709</v>
      </c>
      <c r="BE11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31.704924837516717</v>
      </c>
      <c r="BF11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53.488580678259495</v>
      </c>
      <c r="BG11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76.027115681800296</v>
      </c>
      <c r="BH11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93.605016186954117</v>
      </c>
      <c r="BI11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97.055892359745059</v>
      </c>
      <c r="BJ11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98.619570625540973</v>
      </c>
      <c r="BK11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85.247425455976071</v>
      </c>
      <c r="BL11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59.851133621842791</v>
      </c>
      <c r="BM11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38.444917362499012</v>
      </c>
      <c r="BN11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17.793580265953263</v>
      </c>
      <c r="BO11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15.043663315760487</v>
      </c>
      <c r="BP1117">
        <f>SUM(Таб[[#This Row],[1]:[12]])</f>
        <v>685.26851999999997</v>
      </c>
    </row>
    <row r="1118" spans="2:68" ht="51">
      <c r="B1118" t="s">
        <v>384</v>
      </c>
      <c r="C1118" t="str">
        <f>IFERROR(VLOOKUP(Таб[[#This Row],[Зелений Тариф ЕЦ]],Sheet6!$H$9:$I$29,2,FALSE),"")</f>
        <v>Дах</v>
      </c>
      <c r="G1118" s="1" t="s">
        <v>2627</v>
      </c>
      <c r="H1118" t="s">
        <v>101</v>
      </c>
      <c r="J1118" s="7">
        <v>0.23300000000000001</v>
      </c>
      <c r="K1118" s="8">
        <v>43823</v>
      </c>
      <c r="L1118" s="8">
        <v>43882</v>
      </c>
      <c r="M1118">
        <v>2</v>
      </c>
      <c r="N1118" s="49" t="s">
        <v>67</v>
      </c>
      <c r="O1118">
        <v>2020</v>
      </c>
      <c r="P1118">
        <v>0.16370000000000001</v>
      </c>
      <c r="Q1118" s="10"/>
      <c r="R1118" s="11">
        <f>ROUND(Таб[[#This Row],[Зелений Тариф ЕЦ]]+Таб[[#This Row],[Зелений Тариф ЕЦ]]*Таб[[#This Row],[% надбавки]],4)</f>
        <v>0.16370000000000001</v>
      </c>
      <c r="S1118" s="12"/>
      <c r="T1118"/>
      <c r="BD11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7.5028038681249534</v>
      </c>
      <c r="BE11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12.937386142104021</v>
      </c>
      <c r="BF11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21.826338525454403</v>
      </c>
      <c r="BG11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31.023323912188211</v>
      </c>
      <c r="BH11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38.196092419545202</v>
      </c>
      <c r="BI11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39.604243292155168</v>
      </c>
      <c r="BJ11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40.242311656306555</v>
      </c>
      <c r="BK11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34.785727024942958</v>
      </c>
      <c r="BL11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24.422616696829024</v>
      </c>
      <c r="BM11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15.687680815170353</v>
      </c>
      <c r="BN11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7.2607779368951153</v>
      </c>
      <c r="BO11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6.1386577102840505</v>
      </c>
      <c r="BP1118">
        <f>SUM(Таб[[#This Row],[1]:[12]])</f>
        <v>279.62796000000003</v>
      </c>
    </row>
    <row r="1119" spans="2:68" ht="76.5">
      <c r="B1119" t="s">
        <v>384</v>
      </c>
      <c r="C1119" t="str">
        <f>IFERROR(VLOOKUP(Таб[[#This Row],[Зелений Тариф ЕЦ]],Sheet6!$H$9:$I$29,2,FALSE),"")</f>
        <v>Дах</v>
      </c>
      <c r="G1119" s="1" t="s">
        <v>2629</v>
      </c>
      <c r="H1119" t="s">
        <v>255</v>
      </c>
      <c r="J1119" s="7">
        <v>0.97899999999999998</v>
      </c>
      <c r="K1119" s="8">
        <v>43810</v>
      </c>
      <c r="L1119" s="8">
        <v>43882</v>
      </c>
      <c r="M1119">
        <v>2</v>
      </c>
      <c r="N1119" s="49" t="s">
        <v>67</v>
      </c>
      <c r="O1119">
        <v>2020</v>
      </c>
      <c r="P1119">
        <v>0.16370000000000001</v>
      </c>
      <c r="Q1119" s="10"/>
      <c r="R1119" s="11">
        <f>ROUND(Таб[[#This Row],[Зелений Тариф ЕЦ]]+Таб[[#This Row],[Зелений Тариф ЕЦ]]*Таб[[#This Row],[% надбавки]],4)</f>
        <v>0.16370000000000001</v>
      </c>
      <c r="S1119" s="12"/>
      <c r="T1119"/>
      <c r="BD11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31.52465659611299</v>
      </c>
      <c r="BE11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54.35923190180187</v>
      </c>
      <c r="BF11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91.708091915965056</v>
      </c>
      <c r="BG11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130.35121935636164</v>
      </c>
      <c r="BH11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160.48916085293885</v>
      </c>
      <c r="BI11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166.40581194429146</v>
      </c>
      <c r="BJ11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169.08679447006057</v>
      </c>
      <c r="BK11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146.15977149106934</v>
      </c>
      <c r="BL11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102.6169173656464</v>
      </c>
      <c r="BM11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65.915191064599895</v>
      </c>
      <c r="BN11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30.507732189786772</v>
      </c>
      <c r="BO11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25.792900851365179</v>
      </c>
      <c r="BP1119">
        <f>SUM(Таб[[#This Row],[1]:[12]])</f>
        <v>1174.9174800000001</v>
      </c>
    </row>
    <row r="1120" spans="2:68" ht="38.25">
      <c r="B1120" t="s">
        <v>384</v>
      </c>
      <c r="C1120" t="str">
        <f>IFERROR(VLOOKUP(Таб[[#This Row],[Зелений Тариф ЕЦ]],Sheet6!$H$9:$I$29,2,FALSE),"")</f>
        <v>Дах</v>
      </c>
      <c r="G1120" s="1" t="s">
        <v>2631</v>
      </c>
      <c r="H1120" t="s">
        <v>65</v>
      </c>
      <c r="J1120" s="7">
        <v>1.341</v>
      </c>
      <c r="K1120" s="8">
        <v>43825</v>
      </c>
      <c r="L1120" s="8">
        <v>43882</v>
      </c>
      <c r="M1120">
        <v>2</v>
      </c>
      <c r="N1120" s="49" t="s">
        <v>67</v>
      </c>
      <c r="O1120">
        <v>2020</v>
      </c>
      <c r="P1120">
        <v>0.16370000000000001</v>
      </c>
      <c r="Q1120" s="10"/>
      <c r="R1120" s="11">
        <f>ROUND(Таб[[#This Row],[Зелений Тариф ЕЦ]]+Таб[[#This Row],[Зелений Тариф ЕЦ]]*Таб[[#This Row],[% надбавки]],4)</f>
        <v>0.16370000000000001</v>
      </c>
      <c r="S1120" s="12"/>
      <c r="T1120"/>
      <c r="BD11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43.181373335431594</v>
      </c>
      <c r="BE11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74.459376895113706</v>
      </c>
      <c r="BF11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125.61854061216459</v>
      </c>
      <c r="BG11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178.55054663624202</v>
      </c>
      <c r="BH11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219.83244607128808</v>
      </c>
      <c r="BI11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227.93686804626643</v>
      </c>
      <c r="BJ11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231.60918425367848</v>
      </c>
      <c r="BK11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200.20454910063734</v>
      </c>
      <c r="BL11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140.56106862853099</v>
      </c>
      <c r="BM11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90.288326064993313</v>
      </c>
      <c r="BN11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41.788425808482181</v>
      </c>
      <c r="BO11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35.330214547171295</v>
      </c>
      <c r="BP1120">
        <f>SUM(Таб[[#This Row],[1]:[12]])</f>
        <v>1609.3609200000001</v>
      </c>
    </row>
    <row r="1121" spans="2:68" ht="38.25">
      <c r="B1121" t="s">
        <v>384</v>
      </c>
      <c r="C1121" t="str">
        <f>IFERROR(VLOOKUP(Таб[[#This Row],[Зелений Тариф ЕЦ]],Sheet6!$H$9:$I$29,2,FALSE),"")</f>
        <v>Земля</v>
      </c>
      <c r="D1121" t="s">
        <v>3445</v>
      </c>
      <c r="F1121" t="s">
        <v>3416</v>
      </c>
      <c r="G1121" s="1" t="s">
        <v>2633</v>
      </c>
      <c r="H1121" t="s">
        <v>122</v>
      </c>
      <c r="J1121" s="7">
        <v>13.5</v>
      </c>
      <c r="K1121" s="8">
        <v>43808</v>
      </c>
      <c r="L1121" s="8">
        <v>43889</v>
      </c>
      <c r="M1121">
        <v>2</v>
      </c>
      <c r="N1121" s="49" t="s">
        <v>67</v>
      </c>
      <c r="O1121">
        <v>2020</v>
      </c>
      <c r="P1121">
        <v>0.15029999999999999</v>
      </c>
      <c r="Q1121" s="10"/>
      <c r="R1121" s="11">
        <f>ROUND(Таб[[#This Row],[Зелений Тариф ЕЦ]]+Таб[[#This Row],[Зелений Тариф ЕЦ]]*Таб[[#This Row],[% надбавки]],4)</f>
        <v>0.15029999999999999</v>
      </c>
      <c r="S1121" s="12"/>
      <c r="T1121"/>
      <c r="BD11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434.71181210166026</v>
      </c>
      <c r="BE11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749.59104256825879</v>
      </c>
      <c r="BF11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1264.6161806593752</v>
      </c>
      <c r="BG11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1797.4887245259265</v>
      </c>
      <c r="BH11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2213.0783161539066</v>
      </c>
      <c r="BI11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2294.6664568416081</v>
      </c>
      <c r="BJ11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2331.6360830907233</v>
      </c>
      <c r="BK11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2015.4820379258795</v>
      </c>
      <c r="BL11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1415.0443150523251</v>
      </c>
      <c r="BM11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908.94287984892594</v>
      </c>
      <c r="BN11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420.68885042096156</v>
      </c>
      <c r="BO11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355.67330081044929</v>
      </c>
      <c r="BP1121">
        <f>SUM(Таб[[#This Row],[1]:[12]])</f>
        <v>16201.620000000003</v>
      </c>
    </row>
    <row r="1122" spans="2:68" ht="38.25">
      <c r="B1122" t="s">
        <v>384</v>
      </c>
      <c r="C1122" t="str">
        <f>IFERROR(VLOOKUP(Таб[[#This Row],[Зелений Тариф ЕЦ]],Sheet6!$H$9:$I$29,2,FALSE),"")</f>
        <v>Земля</v>
      </c>
      <c r="G1122" s="1" t="s">
        <v>2029</v>
      </c>
      <c r="H1122" t="s">
        <v>107</v>
      </c>
      <c r="J1122" s="7">
        <v>1.9990000000000001</v>
      </c>
      <c r="K1122" s="8">
        <v>43820</v>
      </c>
      <c r="L1122" s="8">
        <v>43889</v>
      </c>
      <c r="M1122">
        <v>2</v>
      </c>
      <c r="N1122" s="49" t="s">
        <v>67</v>
      </c>
      <c r="O1122">
        <v>2020</v>
      </c>
      <c r="P1122">
        <v>0.15029999999999999</v>
      </c>
      <c r="Q1122" s="10"/>
      <c r="R1122" s="11">
        <f>ROUND(Таб[[#This Row],[Зелений Тариф ЕЦ]]+Таб[[#This Row],[Зелений Тариф ЕЦ]]*Таб[[#This Row],[% надбавки]],4)</f>
        <v>0.15029999999999999</v>
      </c>
      <c r="S1122" s="12"/>
      <c r="T1122"/>
      <c r="BD11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64.369549066016219</v>
      </c>
      <c r="BE11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110.99499956251478</v>
      </c>
      <c r="BF11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187.25687001022897</v>
      </c>
      <c r="BG11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266.16147854276494</v>
      </c>
      <c r="BH11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327.69952251790073</v>
      </c>
      <c r="BI11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339.78061090565745</v>
      </c>
      <c r="BJ11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345.25485408135967</v>
      </c>
      <c r="BK11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298.44063657880247</v>
      </c>
      <c r="BL11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209.53137672515547</v>
      </c>
      <c r="BM11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134.59087531985207</v>
      </c>
      <c r="BN11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62.293111999370538</v>
      </c>
      <c r="BO11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52.665994690376905</v>
      </c>
      <c r="BP1122">
        <f>SUM(Таб[[#This Row],[1]:[12]])</f>
        <v>2399.0398799999998</v>
      </c>
    </row>
    <row r="1123" spans="2:68" ht="51">
      <c r="B1123" t="s">
        <v>384</v>
      </c>
      <c r="C1123" t="str">
        <f>IFERROR(VLOOKUP(Таб[[#This Row],[Зелений Тариф ЕЦ]],Sheet6!$H$9:$I$29,2,FALSE),"")</f>
        <v>Земля</v>
      </c>
      <c r="G1123" s="1" t="s">
        <v>2636</v>
      </c>
      <c r="H1123" t="s">
        <v>172</v>
      </c>
      <c r="J1123" s="7">
        <v>0.96699999999999997</v>
      </c>
      <c r="K1123" s="8">
        <v>43811</v>
      </c>
      <c r="L1123" s="8">
        <v>43889</v>
      </c>
      <c r="M1123">
        <v>2</v>
      </c>
      <c r="N1123" s="49" t="s">
        <v>67</v>
      </c>
      <c r="O1123">
        <v>2020</v>
      </c>
      <c r="P1123">
        <v>0.15029999999999999</v>
      </c>
      <c r="Q1123" s="10"/>
      <c r="R1123" s="11">
        <f>ROUND(Таб[[#This Row],[Зелений Тариф ЕЦ]]+Таб[[#This Row],[Зелений Тариф ЕЦ]]*Таб[[#This Row],[% надбавки]],4)</f>
        <v>0.15029999999999999</v>
      </c>
      <c r="S1123" s="12"/>
      <c r="T1123"/>
      <c r="BD11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31.138246096467078</v>
      </c>
      <c r="BE11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53.69292875285231</v>
      </c>
      <c r="BF11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90.583988644267833</v>
      </c>
      <c r="BG11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128.75345160122748</v>
      </c>
      <c r="BH11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158.52198012746871</v>
      </c>
      <c r="BI11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164.36610842709891</v>
      </c>
      <c r="BJ11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167.01422906286882</v>
      </c>
      <c r="BK11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144.36823190180186</v>
      </c>
      <c r="BL11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101.359100196711</v>
      </c>
      <c r="BM11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65.107241838067495</v>
      </c>
      <c r="BN11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30.133786544968135</v>
      </c>
      <c r="BO11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25.476746806200332</v>
      </c>
      <c r="BP1123">
        <f>SUM(Таб[[#This Row],[1]:[12]])</f>
        <v>1160.51604</v>
      </c>
    </row>
    <row r="1124" spans="2:68" ht="38.25">
      <c r="B1124" t="s">
        <v>384</v>
      </c>
      <c r="C1124" t="str">
        <f>IFERROR(VLOOKUP(Таб[[#This Row],[Зелений Тариф ЕЦ]],Sheet6!$H$9:$I$29,2,FALSE),"")</f>
        <v>Земля</v>
      </c>
      <c r="D1124" t="s">
        <v>3394</v>
      </c>
      <c r="F1124" t="s">
        <v>3364</v>
      </c>
      <c r="G1124" s="1" t="s">
        <v>2638</v>
      </c>
      <c r="H1124" t="s">
        <v>233</v>
      </c>
      <c r="J1124" s="7">
        <v>34.557000000000002</v>
      </c>
      <c r="K1124" s="8">
        <v>43819</v>
      </c>
      <c r="L1124" s="8">
        <v>43896</v>
      </c>
      <c r="M1124">
        <v>3</v>
      </c>
      <c r="N1124" s="49" t="s">
        <v>67</v>
      </c>
      <c r="O1124">
        <v>2020</v>
      </c>
      <c r="P1124">
        <v>0.15029999999999999</v>
      </c>
      <c r="Q1124" s="10"/>
      <c r="R1124" s="11">
        <f>ROUND(Таб[[#This Row],[Зелений Тариф ЕЦ]]+Таб[[#This Row],[Зелений Тариф ЕЦ]]*Таб[[#This Row],[% надбавки]],4)</f>
        <v>0.15029999999999999</v>
      </c>
      <c r="S1124" s="12"/>
      <c r="T1124"/>
      <c r="BD11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1112.765636355339</v>
      </c>
      <c r="BE11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1918.7864931875049</v>
      </c>
      <c r="BF11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3237.1363966700765</v>
      </c>
      <c r="BG11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4601.1716928475889</v>
      </c>
      <c r="BH11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5664.9886941726345</v>
      </c>
      <c r="BI11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5873.8362036352191</v>
      </c>
      <c r="BJ11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5968.470231360453</v>
      </c>
      <c r="BK11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5159.1861321929346</v>
      </c>
      <c r="BL11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3622.1989922417192</v>
      </c>
      <c r="BM11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2326.6917851066173</v>
      </c>
      <c r="BN11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1076.869970666457</v>
      </c>
      <c r="BO11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910.44461156345915</v>
      </c>
      <c r="BP1124">
        <f>SUM(Таб[[#This Row],[1]:[12]])</f>
        <v>41472.546840000003</v>
      </c>
    </row>
    <row r="1125" spans="2:68" ht="51">
      <c r="B1125" t="s">
        <v>384</v>
      </c>
      <c r="C1125" t="str">
        <f>IFERROR(VLOOKUP(Таб[[#This Row],[Зелений Тариф ЕЦ]],Sheet6!$H$9:$I$29,2,FALSE),"")</f>
        <v>Земля</v>
      </c>
      <c r="G1125" s="1" t="s">
        <v>2640</v>
      </c>
      <c r="H1125" t="s">
        <v>122</v>
      </c>
      <c r="J1125" s="7">
        <v>5.0309999999999997</v>
      </c>
      <c r="K1125" s="8">
        <v>43817</v>
      </c>
      <c r="L1125" s="8">
        <v>43896</v>
      </c>
      <c r="M1125">
        <v>3</v>
      </c>
      <c r="N1125" s="49" t="s">
        <v>67</v>
      </c>
      <c r="O1125">
        <v>2020</v>
      </c>
      <c r="P1125">
        <v>0.15029999999999999</v>
      </c>
      <c r="Q1125" s="10"/>
      <c r="R1125" s="11">
        <f>ROUND(Таб[[#This Row],[Зелений Тариф ЕЦ]]+Таб[[#This Row],[Зелений Тариф ЕЦ]]*Таб[[#This Row],[% надбавки]],4)</f>
        <v>0.15029999999999999</v>
      </c>
      <c r="S1125" s="12"/>
      <c r="T1125"/>
      <c r="BD11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162.00260197655206</v>
      </c>
      <c r="BE11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279.3475951971044</v>
      </c>
      <c r="BF11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471.28029665906047</v>
      </c>
      <c r="BG11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669.8641313399952</v>
      </c>
      <c r="BH11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824.74051915335599</v>
      </c>
      <c r="BI11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855.14569958297261</v>
      </c>
      <c r="BJ11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868.9230469651427</v>
      </c>
      <c r="BK11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751.10297280037776</v>
      </c>
      <c r="BL11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527.3398480761665</v>
      </c>
      <c r="BM11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338.73271322369965</v>
      </c>
      <c r="BN11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156.77671159021168</v>
      </c>
      <c r="BO11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132.54758343536076</v>
      </c>
      <c r="BP1125">
        <f>SUM(Таб[[#This Row],[1]:[12]])</f>
        <v>6037.803719999999</v>
      </c>
    </row>
    <row r="1126" spans="2:68" ht="38.25">
      <c r="B1126" t="s">
        <v>384</v>
      </c>
      <c r="C1126" t="str">
        <f>IFERROR(VLOOKUP(Таб[[#This Row],[Зелений Тариф ЕЦ]],Sheet6!$H$9:$I$29,2,FALSE),"")</f>
        <v>Земля</v>
      </c>
      <c r="G1126" s="1" t="s">
        <v>2642</v>
      </c>
      <c r="H1126" t="s">
        <v>65</v>
      </c>
      <c r="J1126" s="7">
        <v>1.718</v>
      </c>
      <c r="K1126" s="8">
        <v>43823</v>
      </c>
      <c r="L1126" s="8">
        <v>43896</v>
      </c>
      <c r="M1126">
        <v>3</v>
      </c>
      <c r="N1126" s="49" t="s">
        <v>67</v>
      </c>
      <c r="O1126">
        <v>2020</v>
      </c>
      <c r="P1126">
        <v>0.15029999999999999</v>
      </c>
      <c r="Q1126" s="10"/>
      <c r="R1126" s="11">
        <f>ROUND(Таб[[#This Row],[Зелений Тариф ЕЦ]]+Таб[[#This Row],[Зелений Тариф ЕЦ]]*Таб[[#This Row],[% надбавки]],4)</f>
        <v>0.15029999999999999</v>
      </c>
      <c r="S1126" s="12"/>
      <c r="T1126"/>
      <c r="BD11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55.321103199307586</v>
      </c>
      <c r="BE11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95.39240082461248</v>
      </c>
      <c r="BF11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160.93411839798566</v>
      </c>
      <c r="BG11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228.74708361004014</v>
      </c>
      <c r="BH11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281.63470719647495</v>
      </c>
      <c r="BI11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292.0175535447321</v>
      </c>
      <c r="BJ11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296.7222807962861</v>
      </c>
      <c r="BK11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256.48875119678974</v>
      </c>
      <c r="BL11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180.07749135258481</v>
      </c>
      <c r="BM11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115.67139759855219</v>
      </c>
      <c r="BN11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53.536551483200896</v>
      </c>
      <c r="BO11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45.262720799433474</v>
      </c>
      <c r="BP1126">
        <f>SUM(Таб[[#This Row],[1]:[12]])</f>
        <v>2061.8061599999996</v>
      </c>
    </row>
    <row r="1127" spans="2:68" ht="51">
      <c r="B1127" t="s">
        <v>384</v>
      </c>
      <c r="C1127" t="str">
        <f>IFERROR(VLOOKUP(Таб[[#This Row],[Зелений Тариф ЕЦ]],Sheet6!$H$9:$I$29,2,FALSE),"")</f>
        <v>Дах</v>
      </c>
      <c r="G1127" s="1" t="s">
        <v>2644</v>
      </c>
      <c r="H1127" t="s">
        <v>321</v>
      </c>
      <c r="J1127" s="7">
        <v>0.55500000000000005</v>
      </c>
      <c r="K1127" s="8">
        <v>43827</v>
      </c>
      <c r="L1127" s="8">
        <v>43896</v>
      </c>
      <c r="M1127">
        <v>3</v>
      </c>
      <c r="N1127" s="49" t="s">
        <v>67</v>
      </c>
      <c r="O1127">
        <v>2020</v>
      </c>
      <c r="P1127">
        <v>0.16370000000000001</v>
      </c>
      <c r="Q1127" s="10"/>
      <c r="R1127" s="11">
        <f>ROUND(Таб[[#This Row],[Зелений Тариф ЕЦ]]+Таб[[#This Row],[Зелений Тариф ЕЦ]]*Таб[[#This Row],[% надбавки]],4)</f>
        <v>0.16370000000000001</v>
      </c>
      <c r="S1127" s="12"/>
      <c r="T1127"/>
      <c r="BD11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17.871485608623814</v>
      </c>
      <c r="BE11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30.816520638917307</v>
      </c>
      <c r="BF11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51.989776315996536</v>
      </c>
      <c r="BG11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73.896758674954768</v>
      </c>
      <c r="BH11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90.98210855299395</v>
      </c>
      <c r="BI11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94.336287670155031</v>
      </c>
      <c r="BJ11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95.85615008261864</v>
      </c>
      <c r="BK11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82.858706003619488</v>
      </c>
      <c r="BL11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58.174044063262258</v>
      </c>
      <c r="BM11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37.367651727122514</v>
      </c>
      <c r="BN11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17.294986072861757</v>
      </c>
      <c r="BO11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14.622124588874026</v>
      </c>
      <c r="BP1127">
        <f>SUM(Таб[[#This Row],[1]:[12]])</f>
        <v>666.06660000000011</v>
      </c>
    </row>
    <row r="1128" spans="2:68" ht="51">
      <c r="B1128" t="s">
        <v>384</v>
      </c>
      <c r="C1128" t="str">
        <f>IFERROR(VLOOKUP(Таб[[#This Row],[Зелений Тариф ЕЦ]],Sheet6!$H$9:$I$29,2,FALSE),"")</f>
        <v>Земля</v>
      </c>
      <c r="G1128" s="1" t="s">
        <v>2646</v>
      </c>
      <c r="H1128" t="s">
        <v>73</v>
      </c>
      <c r="J1128" s="7">
        <v>9.7629999999999999</v>
      </c>
      <c r="K1128" s="8">
        <v>43827</v>
      </c>
      <c r="L1128" s="8">
        <v>43896</v>
      </c>
      <c r="M1128">
        <v>3</v>
      </c>
      <c r="N1128" s="49" t="s">
        <v>67</v>
      </c>
      <c r="O1128">
        <v>2020</v>
      </c>
      <c r="P1128">
        <v>0.15029999999999999</v>
      </c>
      <c r="Q1128" s="10"/>
      <c r="R1128" s="11">
        <f>ROUND(Таб[[#This Row],[Зелений Тариф ЕЦ]]+Таб[[#This Row],[Зелений Тариф ЕЦ]]*Таб[[#This Row],[% надбавки]],4)</f>
        <v>0.15029999999999999</v>
      </c>
      <c r="S1128" s="12"/>
      <c r="T1128"/>
      <c r="BD11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314.37714233692662</v>
      </c>
      <c r="BE11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542.0931369328822</v>
      </c>
      <c r="BF11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914.55168679833184</v>
      </c>
      <c r="BG11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1299.9172161145646</v>
      </c>
      <c r="BH11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1600.4654518970808</v>
      </c>
      <c r="BI11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1659.4687865292312</v>
      </c>
      <c r="BJ11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1686.2046725344244</v>
      </c>
      <c r="BK11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1457.5667508348415</v>
      </c>
      <c r="BL11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1023.3390850263593</v>
      </c>
      <c r="BM11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657.33402488630099</v>
      </c>
      <c r="BN11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304.23594419702579</v>
      </c>
      <c r="BO11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257.21766191203085</v>
      </c>
      <c r="BP1128">
        <f>SUM(Таб[[#This Row],[1]:[12]])</f>
        <v>11716.771559999999</v>
      </c>
    </row>
    <row r="1129" spans="2:68" ht="38.25">
      <c r="B1129" t="s">
        <v>384</v>
      </c>
      <c r="C1129" t="str">
        <f>IFERROR(VLOOKUP(Таб[[#This Row],[Зелений Тариф ЕЦ]],Sheet6!$H$9:$I$29,2,FALSE),"")</f>
        <v>Земля</v>
      </c>
      <c r="G1129" s="1" t="s">
        <v>2648</v>
      </c>
      <c r="H1129" t="s">
        <v>185</v>
      </c>
      <c r="J1129" s="7">
        <v>0.28399999999999997</v>
      </c>
      <c r="K1129" s="8">
        <v>43810</v>
      </c>
      <c r="L1129" s="8">
        <v>43896</v>
      </c>
      <c r="M1129">
        <v>3</v>
      </c>
      <c r="N1129" s="49" t="s">
        <v>67</v>
      </c>
      <c r="O1129">
        <v>2020</v>
      </c>
      <c r="P1129">
        <v>0.15029999999999999</v>
      </c>
      <c r="Q1129" s="10"/>
      <c r="R1129" s="11">
        <f>ROUND(Таб[[#This Row],[Зелений Тариф ЕЦ]]+Таб[[#This Row],[Зелений Тариф ЕЦ]]*Таб[[#This Row],[% надбавки]],4)</f>
        <v>0.15029999999999999</v>
      </c>
      <c r="S1129" s="12"/>
      <c r="T1129"/>
      <c r="BD11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9.1450484916201127</v>
      </c>
      <c r="BE11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15.769174525139665</v>
      </c>
      <c r="BF11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26.603777430167597</v>
      </c>
      <c r="BG11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37.813836871508371</v>
      </c>
      <c r="BH11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46.556610502793291</v>
      </c>
      <c r="BI11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48.272983240223461</v>
      </c>
      <c r="BJ11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49.050714636871504</v>
      </c>
      <c r="BK11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42.399770279329609</v>
      </c>
      <c r="BL11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29.768339664804468</v>
      </c>
      <c r="BM11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19.12146502793296</v>
      </c>
      <c r="BN11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8.8500469273743008</v>
      </c>
      <c r="BO11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7.482312402234637</v>
      </c>
      <c r="BP1129">
        <f>SUM(Таб[[#This Row],[1]:[12]])</f>
        <v>340.83407999999997</v>
      </c>
    </row>
    <row r="1130" spans="2:68" ht="38.25">
      <c r="B1130" t="s">
        <v>384</v>
      </c>
      <c r="C1130" t="str">
        <f>IFERROR(VLOOKUP(Таб[[#This Row],[Зелений Тариф ЕЦ]],Sheet6!$H$9:$I$29,2,FALSE),"")</f>
        <v>Дах</v>
      </c>
      <c r="G1130" s="1" t="s">
        <v>2650</v>
      </c>
      <c r="H1130" t="s">
        <v>198</v>
      </c>
      <c r="J1130" s="7">
        <v>0.52400000000000002</v>
      </c>
      <c r="K1130" s="8">
        <v>43796</v>
      </c>
      <c r="L1130" s="8">
        <v>43903</v>
      </c>
      <c r="M1130">
        <v>3</v>
      </c>
      <c r="N1130" s="49" t="s">
        <v>67</v>
      </c>
      <c r="O1130">
        <v>2020</v>
      </c>
      <c r="P1130">
        <v>0.16370000000000001</v>
      </c>
      <c r="Q1130" s="10"/>
      <c r="R1130" s="11">
        <f>ROUND(Таб[[#This Row],[Зелений Тариф ЕЦ]]+Таб[[#This Row],[Зелений Тариф ЕЦ]]*Таб[[#This Row],[% надбавки]],4)</f>
        <v>0.16370000000000001</v>
      </c>
      <c r="S1130" s="12"/>
      <c r="T1130"/>
      <c r="BD11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16.873258484538518</v>
      </c>
      <c r="BE11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29.095237504130935</v>
      </c>
      <c r="BF11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49.085842864112045</v>
      </c>
      <c r="BG11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69.769191974191529</v>
      </c>
      <c r="BH11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85.900225012196088</v>
      </c>
      <c r="BI11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89.067053584074273</v>
      </c>
      <c r="BJ11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90.502022780706582</v>
      </c>
      <c r="BK11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78.23056206467858</v>
      </c>
      <c r="BL11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54.924683043512481</v>
      </c>
      <c r="BM11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35.280449558580528</v>
      </c>
      <c r="BN11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16.328959823746956</v>
      </c>
      <c r="BO11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13.805393305531517</v>
      </c>
      <c r="BP1130">
        <f>SUM(Таб[[#This Row],[1]:[12]])</f>
        <v>628.8628799999999</v>
      </c>
    </row>
    <row r="1131" spans="2:68" ht="38.25">
      <c r="B1131" t="s">
        <v>384</v>
      </c>
      <c r="C1131" t="str">
        <f>IFERROR(VLOOKUP(Таб[[#This Row],[Зелений Тариф ЕЦ]],Sheet6!$H$9:$I$29,2,FALSE),"")</f>
        <v>Дах</v>
      </c>
      <c r="G1131" s="1" t="s">
        <v>2652</v>
      </c>
      <c r="H1131" t="s">
        <v>65</v>
      </c>
      <c r="J1131" s="7">
        <v>0.24199999999999999</v>
      </c>
      <c r="K1131" s="8">
        <v>43816</v>
      </c>
      <c r="L1131" s="8">
        <v>43903</v>
      </c>
      <c r="M1131">
        <v>3</v>
      </c>
      <c r="N1131" s="49" t="s">
        <v>67</v>
      </c>
      <c r="O1131">
        <v>2020</v>
      </c>
      <c r="P1131">
        <v>0.16370000000000001</v>
      </c>
      <c r="Q1131" s="10"/>
      <c r="R1131" s="11">
        <f>ROUND(Таб[[#This Row],[Зелений Тариф ЕЦ]]+Таб[[#This Row],[Зелений Тариф ЕЦ]]*Таб[[#This Row],[% надбавки]],4)</f>
        <v>0.16370000000000001</v>
      </c>
      <c r="S1131" s="12"/>
      <c r="T1131"/>
      <c r="BD11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7.7926117428593926</v>
      </c>
      <c r="BE11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13.437113503816194</v>
      </c>
      <c r="BF11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22.669415979227317</v>
      </c>
      <c r="BG11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32.221649728538829</v>
      </c>
      <c r="BH11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39.671477963647803</v>
      </c>
      <c r="BI11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41.134020930049573</v>
      </c>
      <c r="BJ11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41.796735711700364</v>
      </c>
      <c r="BK11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36.129381716893533</v>
      </c>
      <c r="BL11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25.365979573530566</v>
      </c>
      <c r="BM11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16.293642735069632</v>
      </c>
      <c r="BN11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7.5412371705090884</v>
      </c>
      <c r="BO11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6.3757732441576831</v>
      </c>
      <c r="BP1131">
        <f>SUM(Таб[[#This Row],[1]:[12]])</f>
        <v>290.42903999999999</v>
      </c>
    </row>
    <row r="1132" spans="2:68" ht="38.25">
      <c r="B1132" t="s">
        <v>384</v>
      </c>
      <c r="C1132" t="str">
        <f>IFERROR(VLOOKUP(Таб[[#This Row],[Зелений Тариф ЕЦ]],Sheet6!$H$9:$I$29,2,FALSE),"")</f>
        <v>Дах</v>
      </c>
      <c r="G1132" s="1" t="s">
        <v>2652</v>
      </c>
      <c r="H1132" t="s">
        <v>65</v>
      </c>
      <c r="J1132" s="7">
        <v>0.24199999999999999</v>
      </c>
      <c r="K1132" s="8">
        <v>43826</v>
      </c>
      <c r="L1132" s="8">
        <v>43903</v>
      </c>
      <c r="M1132">
        <v>3</v>
      </c>
      <c r="N1132" s="49" t="s">
        <v>67</v>
      </c>
      <c r="O1132">
        <v>2020</v>
      </c>
      <c r="P1132">
        <v>0.16370000000000001</v>
      </c>
      <c r="Q1132" s="10"/>
      <c r="R1132" s="11">
        <f>ROUND(Таб[[#This Row],[Зелений Тариф ЕЦ]]+Таб[[#This Row],[Зелений Тариф ЕЦ]]*Таб[[#This Row],[% надбавки]],4)</f>
        <v>0.16370000000000001</v>
      </c>
      <c r="S1132" s="12"/>
      <c r="T1132"/>
      <c r="BD11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7.7926117428593926</v>
      </c>
      <c r="BE11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13.437113503816194</v>
      </c>
      <c r="BF11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22.669415979227317</v>
      </c>
      <c r="BG11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32.221649728538829</v>
      </c>
      <c r="BH11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39.671477963647803</v>
      </c>
      <c r="BI11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41.134020930049573</v>
      </c>
      <c r="BJ11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41.796735711700364</v>
      </c>
      <c r="BK11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36.129381716893533</v>
      </c>
      <c r="BL11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25.365979573530566</v>
      </c>
      <c r="BM11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16.293642735069632</v>
      </c>
      <c r="BN11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7.5412371705090884</v>
      </c>
      <c r="BO11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6.3757732441576831</v>
      </c>
      <c r="BP1132">
        <f>SUM(Таб[[#This Row],[1]:[12]])</f>
        <v>290.42903999999999</v>
      </c>
    </row>
    <row r="1133" spans="2:68" ht="38.25">
      <c r="B1133" t="s">
        <v>384</v>
      </c>
      <c r="C1133" t="str">
        <f>IFERROR(VLOOKUP(Таб[[#This Row],[Зелений Тариф ЕЦ]],Sheet6!$H$9:$I$29,2,FALSE),"")</f>
        <v>Земля</v>
      </c>
      <c r="G1133" s="1" t="s">
        <v>2655</v>
      </c>
      <c r="H1133" t="s">
        <v>172</v>
      </c>
      <c r="J1133" s="7">
        <v>2.4009999999999998</v>
      </c>
      <c r="K1133" s="8">
        <v>43822</v>
      </c>
      <c r="L1133" s="8">
        <v>43903</v>
      </c>
      <c r="M1133">
        <v>3</v>
      </c>
      <c r="N1133" s="49" t="s">
        <v>67</v>
      </c>
      <c r="O1133">
        <v>2020</v>
      </c>
      <c r="P1133">
        <v>0.15029999999999999</v>
      </c>
      <c r="Q1133" s="10"/>
      <c r="R1133" s="11">
        <f>ROUND(Таб[[#This Row],[Зелений Тариф ЕЦ]]+Таб[[#This Row],[Зелений Тариф ЕЦ]]*Таб[[#This Row],[% надбавки]],4)</f>
        <v>0.15029999999999999</v>
      </c>
      <c r="S1133" s="12"/>
      <c r="T1133"/>
      <c r="BD11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77.314300804154541</v>
      </c>
      <c r="BE11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133.31615505232512</v>
      </c>
      <c r="BF11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224.91432961208591</v>
      </c>
      <c r="BG11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319.68669833975918</v>
      </c>
      <c r="BH11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393.60007682115031</v>
      </c>
      <c r="BI11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408.11067873160744</v>
      </c>
      <c r="BJ11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414.68579522228339</v>
      </c>
      <c r="BK11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358.45721281926194</v>
      </c>
      <c r="BL11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251.66825188449133</v>
      </c>
      <c r="BM11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161.65717440868673</v>
      </c>
      <c r="BN11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74.820291100794719</v>
      </c>
      <c r="BO11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63.257155203399172</v>
      </c>
      <c r="BP1133">
        <f>SUM(Таб[[#This Row],[1]:[12]])</f>
        <v>2881.48812</v>
      </c>
    </row>
    <row r="1134" spans="2:68" ht="38.25">
      <c r="B1134" t="s">
        <v>384</v>
      </c>
      <c r="C1134" t="str">
        <f>IFERROR(VLOOKUP(Таб[[#This Row],[Зелений Тариф ЕЦ]],Sheet6!$H$9:$I$29,2,FALSE),"")</f>
        <v>Земля</v>
      </c>
      <c r="D1134" t="s">
        <v>3395</v>
      </c>
      <c r="F1134" t="s">
        <v>3287</v>
      </c>
      <c r="G1134" s="1" t="s">
        <v>2657</v>
      </c>
      <c r="H1134" t="s">
        <v>82</v>
      </c>
      <c r="J1134" s="7">
        <v>23.837</v>
      </c>
      <c r="K1134" s="8">
        <v>43822</v>
      </c>
      <c r="L1134" s="8">
        <v>43910</v>
      </c>
      <c r="M1134">
        <v>3</v>
      </c>
      <c r="N1134" s="49" t="s">
        <v>67</v>
      </c>
      <c r="O1134">
        <v>2020</v>
      </c>
      <c r="P1134">
        <v>0.15029999999999999</v>
      </c>
      <c r="Q1134" s="10"/>
      <c r="R1134" s="11">
        <f>ROUND(Таб[[#This Row],[Зелений Тариф ЕЦ]]+Таб[[#This Row],[Зелений Тариф ЕЦ]]*Таб[[#This Row],[% надбавки]],4)</f>
        <v>0.15029999999999999</v>
      </c>
      <c r="S1134" s="12"/>
      <c r="T1134"/>
      <c r="BD11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767.57225667165017</v>
      </c>
      <c r="BE11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1323.5556801258952</v>
      </c>
      <c r="BF11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2232.9374739538907</v>
      </c>
      <c r="BG11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3173.8324982610748</v>
      </c>
      <c r="BH11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3907.6405794193088</v>
      </c>
      <c r="BI11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4051.7010616098823</v>
      </c>
      <c r="BJ11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4116.9784676024865</v>
      </c>
      <c r="BK11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3558.7440991140138</v>
      </c>
      <c r="BL11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2498.5489879927613</v>
      </c>
      <c r="BM11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1604.923809404359</v>
      </c>
      <c r="BN11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742.81186129514526</v>
      </c>
      <c r="BO11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628.01366454953177</v>
      </c>
      <c r="BP1134">
        <f>SUM(Таб[[#This Row],[1]:[12]])</f>
        <v>28607.260439999998</v>
      </c>
    </row>
    <row r="1135" spans="2:68" ht="25.5">
      <c r="B1135" t="s">
        <v>384</v>
      </c>
      <c r="C1135" t="str">
        <f>IFERROR(VLOOKUP(Таб[[#This Row],[Зелений Тариф ЕЦ]],Sheet6!$H$9:$I$29,2,FALSE),"")</f>
        <v>Земля</v>
      </c>
      <c r="G1135" s="1" t="s">
        <v>2659</v>
      </c>
      <c r="H1135" t="s">
        <v>136</v>
      </c>
      <c r="J1135" s="7">
        <v>1.266</v>
      </c>
      <c r="K1135" s="8">
        <v>43801</v>
      </c>
      <c r="L1135" s="8">
        <v>43910</v>
      </c>
      <c r="M1135">
        <v>3</v>
      </c>
      <c r="N1135" s="49" t="s">
        <v>67</v>
      </c>
      <c r="O1135">
        <v>2020</v>
      </c>
      <c r="P1135">
        <v>0.15029999999999999</v>
      </c>
      <c r="Q1135" s="10"/>
      <c r="R1135" s="11">
        <f>ROUND(Таб[[#This Row],[Зелений Тариф ЕЦ]]+Таб[[#This Row],[Зелений Тариф ЕЦ]]*Таб[[#This Row],[% надбавки]],4)</f>
        <v>0.15029999999999999</v>
      </c>
      <c r="S1135" s="12"/>
      <c r="T1135"/>
      <c r="BD11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40.76630771264459</v>
      </c>
      <c r="BE11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70.29498221417893</v>
      </c>
      <c r="BF11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118.59289516405696</v>
      </c>
      <c r="BG11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168.56449816665355</v>
      </c>
      <c r="BH11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207.53756653709968</v>
      </c>
      <c r="BI11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215.18872106381306</v>
      </c>
      <c r="BJ11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218.65565045873007</v>
      </c>
      <c r="BK11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189.00742666771581</v>
      </c>
      <c r="BL11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132.69971132268472</v>
      </c>
      <c r="BM11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85.238643399165937</v>
      </c>
      <c r="BN11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39.451265528365738</v>
      </c>
      <c r="BO11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33.354251764891025</v>
      </c>
      <c r="BP1135">
        <f>SUM(Таб[[#This Row],[1]:[12]])</f>
        <v>1519.3519199999998</v>
      </c>
    </row>
    <row r="1136" spans="2:68" ht="38.25">
      <c r="B1136" t="s">
        <v>384</v>
      </c>
      <c r="C1136" t="str">
        <f>IFERROR(VLOOKUP(Таб[[#This Row],[Зелений Тариф ЕЦ]],Sheet6!$H$9:$I$29,2,FALSE),"")</f>
        <v>Дах</v>
      </c>
      <c r="G1136" s="1" t="s">
        <v>2661</v>
      </c>
      <c r="H1136" t="s">
        <v>198</v>
      </c>
      <c r="J1136" s="7">
        <v>0.35299999999999998</v>
      </c>
      <c r="K1136" s="8">
        <v>43820</v>
      </c>
      <c r="L1136" s="8">
        <v>43910</v>
      </c>
      <c r="M1136">
        <v>3</v>
      </c>
      <c r="N1136" s="49" t="s">
        <v>67</v>
      </c>
      <c r="O1136">
        <v>2020</v>
      </c>
      <c r="P1136">
        <v>0.16370000000000001</v>
      </c>
      <c r="Q1136" s="10"/>
      <c r="R1136" s="11">
        <f>ROUND(Таб[[#This Row],[Зелений Тариф ЕЦ]]+Таб[[#This Row],[Зелений Тариф ЕЦ]]*Таб[[#This Row],[% надбавки]],4)</f>
        <v>0.16370000000000001</v>
      </c>
      <c r="S1136" s="12"/>
      <c r="T1136"/>
      <c r="BD11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11.366908864584154</v>
      </c>
      <c r="BE11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19.600417631599655</v>
      </c>
      <c r="BF11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33.067371242426617</v>
      </c>
      <c r="BG11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47.001001463529775</v>
      </c>
      <c r="BH11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57.867899674246594</v>
      </c>
      <c r="BI11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60.001278464080563</v>
      </c>
      <c r="BJ11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60.967965728224087</v>
      </c>
      <c r="BK11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52.70112291761744</v>
      </c>
      <c r="BL11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37.000788386183018</v>
      </c>
      <c r="BM11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23.767173080494139</v>
      </c>
      <c r="BN11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11.000234385081439</v>
      </c>
      <c r="BO11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9.3001981619324887</v>
      </c>
      <c r="BP1136">
        <f>SUM(Таб[[#This Row],[1]:[12]])</f>
        <v>423.64236000000005</v>
      </c>
    </row>
    <row r="1137" spans="2:68" ht="38.25">
      <c r="B1137" t="s">
        <v>384</v>
      </c>
      <c r="C1137" t="str">
        <f>IFERROR(VLOOKUP(Таб[[#This Row],[Зелений Тариф ЕЦ]],Sheet6!$H$9:$I$29,2,FALSE),"")</f>
        <v>Дах</v>
      </c>
      <c r="G1137" s="1" t="s">
        <v>2663</v>
      </c>
      <c r="H1137" t="s">
        <v>198</v>
      </c>
      <c r="J1137" s="7">
        <v>0.85299999999999998</v>
      </c>
      <c r="K1137" s="8">
        <v>43820</v>
      </c>
      <c r="L1137" s="8">
        <v>43910</v>
      </c>
      <c r="M1137">
        <v>3</v>
      </c>
      <c r="N1137" s="49" t="s">
        <v>67</v>
      </c>
      <c r="O1137">
        <v>2020</v>
      </c>
      <c r="P1137">
        <v>0.16370000000000001</v>
      </c>
      <c r="Q1137" s="10"/>
      <c r="R1137" s="11">
        <f>ROUND(Таб[[#This Row],[Зелений Тариф ЕЦ]]+Таб[[#This Row],[Зелений Тариф ЕЦ]]*Таб[[#This Row],[% надбавки]],4)</f>
        <v>0.16370000000000001</v>
      </c>
      <c r="S1137" s="12"/>
      <c r="T1137"/>
      <c r="BD11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27.467346349830834</v>
      </c>
      <c r="BE11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47.363048837831457</v>
      </c>
      <c r="BF11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79.905007563144224</v>
      </c>
      <c r="BG11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113.57465792745299</v>
      </c>
      <c r="BH11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139.8337632355024</v>
      </c>
      <c r="BI11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144.98892501376977</v>
      </c>
      <c r="BJ11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147.32485769454718</v>
      </c>
      <c r="BK11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127.3486058037611</v>
      </c>
      <c r="BL11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89.409837091824699</v>
      </c>
      <c r="BM11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57.431724186009916</v>
      </c>
      <c r="BN11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26.581302919191128</v>
      </c>
      <c r="BO11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22.473283377134315</v>
      </c>
      <c r="BP1137">
        <f>SUM(Таб[[#This Row],[1]:[12]])</f>
        <v>1023.7023599999999</v>
      </c>
    </row>
    <row r="1138" spans="2:68" ht="51">
      <c r="B1138" t="s">
        <v>384</v>
      </c>
      <c r="C1138" t="str">
        <f>IFERROR(VLOOKUP(Таб[[#This Row],[Зелений Тариф ЕЦ]],Sheet6!$H$9:$I$29,2,FALSE),"")</f>
        <v>Земля</v>
      </c>
      <c r="G1138" s="1" t="s">
        <v>2664</v>
      </c>
      <c r="H1138" t="s">
        <v>65</v>
      </c>
      <c r="J1138" s="7">
        <v>1.163</v>
      </c>
      <c r="K1138" s="8">
        <v>43801</v>
      </c>
      <c r="L1138" s="8">
        <v>43924</v>
      </c>
      <c r="M1138">
        <v>3</v>
      </c>
      <c r="N1138" s="49" t="s">
        <v>67</v>
      </c>
      <c r="O1138">
        <v>2020</v>
      </c>
      <c r="P1138">
        <v>0.15029999999999999</v>
      </c>
      <c r="Q1138" s="10"/>
      <c r="R1138" s="11">
        <f>ROUND(Таб[[#This Row],[Зелений Тариф ЕЦ]]+Таб[[#This Row],[Зелений Тариф ЕЦ]]*Таб[[#This Row],[% надбавки]],4)</f>
        <v>0.15029999999999999</v>
      </c>
      <c r="S1138" s="12"/>
      <c r="T1138"/>
      <c r="BD11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37.449617590683772</v>
      </c>
      <c r="BE11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64.575880185695183</v>
      </c>
      <c r="BF11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108.94434208198913</v>
      </c>
      <c r="BG11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154.85032493508538</v>
      </c>
      <c r="BH11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190.65259864348099</v>
      </c>
      <c r="BI11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197.68126587457709</v>
      </c>
      <c r="BJ11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200.8661307136675</v>
      </c>
      <c r="BK11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173.63004519317019</v>
      </c>
      <c r="BL11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121.90344728932254</v>
      </c>
      <c r="BM11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78.303745871429697</v>
      </c>
      <c r="BN11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36.241565410339135</v>
      </c>
      <c r="BO11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30.640596210559444</v>
      </c>
      <c r="BP1138">
        <f>SUM(Таб[[#This Row],[1]:[12]])</f>
        <v>1395.7395599999998</v>
      </c>
    </row>
    <row r="1139" spans="2:68" ht="38.25">
      <c r="B1139" t="s">
        <v>384</v>
      </c>
      <c r="C1139" t="str">
        <f>IFERROR(VLOOKUP(Таб[[#This Row],[Зелений Тариф ЕЦ]],Sheet6!$H$9:$I$29,2,FALSE),"")</f>
        <v>Земля</v>
      </c>
      <c r="G1139" s="1" t="s">
        <v>2666</v>
      </c>
      <c r="H1139" t="s">
        <v>122</v>
      </c>
      <c r="J1139" s="7">
        <v>3.68</v>
      </c>
      <c r="K1139" s="8">
        <v>43819</v>
      </c>
      <c r="L1139" s="8">
        <v>43924</v>
      </c>
      <c r="M1139">
        <v>3</v>
      </c>
      <c r="N1139" s="49" t="s">
        <v>67</v>
      </c>
      <c r="O1139">
        <v>2020</v>
      </c>
      <c r="P1139">
        <v>0.15029999999999999</v>
      </c>
      <c r="Q1139" s="10"/>
      <c r="R1139" s="11">
        <f>ROUND(Таб[[#This Row],[Зелений Тариф ЕЦ]]+Таб[[#This Row],[Зелений Тариф ЕЦ]]*Таб[[#This Row],[% надбавки]],4)</f>
        <v>0.15029999999999999</v>
      </c>
      <c r="S1139" s="12"/>
      <c r="T1139"/>
      <c r="BD11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118.49921989141555</v>
      </c>
      <c r="BE11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204.3329656778661</v>
      </c>
      <c r="BF11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344.72500332048156</v>
      </c>
      <c r="BG11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489.98211157447474</v>
      </c>
      <c r="BH11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603.26875581084278</v>
      </c>
      <c r="BI11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625.5090786057126</v>
      </c>
      <c r="BJ11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635.58672487213789</v>
      </c>
      <c r="BK11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549.40547404201754</v>
      </c>
      <c r="BL11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385.73059847352272</v>
      </c>
      <c r="BM11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247.7710961365961</v>
      </c>
      <c r="BN11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114.67666441104731</v>
      </c>
      <c r="BO11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96.953907183885434</v>
      </c>
      <c r="BP1139">
        <f>SUM(Таб[[#This Row],[1]:[12]])</f>
        <v>4416.4416000000001</v>
      </c>
    </row>
    <row r="1140" spans="2:68" ht="76.5">
      <c r="B1140" t="s">
        <v>384</v>
      </c>
      <c r="C1140" t="str">
        <f>IFERROR(VLOOKUP(Таб[[#This Row],[Зелений Тариф ЕЦ]],Sheet6!$H$9:$I$29,2,FALSE),"")</f>
        <v>Земля</v>
      </c>
      <c r="G1140" s="1" t="s">
        <v>2668</v>
      </c>
      <c r="H1140" t="s">
        <v>172</v>
      </c>
      <c r="J1140" s="7">
        <v>3.7250000000000001</v>
      </c>
      <c r="K1140" s="8">
        <v>43818</v>
      </c>
      <c r="L1140" s="8">
        <v>43924</v>
      </c>
      <c r="M1140">
        <v>3</v>
      </c>
      <c r="N1140" s="49" t="s">
        <v>67</v>
      </c>
      <c r="O1140">
        <v>2020</v>
      </c>
      <c r="P1140">
        <v>0.15029999999999999</v>
      </c>
      <c r="Q1140" s="10"/>
      <c r="R1140" s="11">
        <f>ROUND(Таб[[#This Row],[Зелений Тариф ЕЦ]]+Таб[[#This Row],[Зелений Тариф ЕЦ]]*Таб[[#This Row],[% надбавки]],4)</f>
        <v>0.15029999999999999</v>
      </c>
      <c r="S1140" s="12"/>
      <c r="T1140"/>
      <c r="BD11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119.94825926508776</v>
      </c>
      <c r="BE11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206.83160248642696</v>
      </c>
      <c r="BF11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348.94039058934618</v>
      </c>
      <c r="BG11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495.97374065622785</v>
      </c>
      <c r="BH11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610.64568353135576</v>
      </c>
      <c r="BI11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633.15796679518451</v>
      </c>
      <c r="BJ11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643.35884514910697</v>
      </c>
      <c r="BK11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556.12374750177037</v>
      </c>
      <c r="BL11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390.44741285703049</v>
      </c>
      <c r="BM11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250.80090573609255</v>
      </c>
      <c r="BN11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116.07896057911718</v>
      </c>
      <c r="BO11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98.139484853253592</v>
      </c>
      <c r="BP1140">
        <f>SUM(Таб[[#This Row],[1]:[12]])</f>
        <v>4470.4470000000001</v>
      </c>
    </row>
    <row r="1141" spans="2:68" ht="25.5">
      <c r="B1141" t="s">
        <v>384</v>
      </c>
      <c r="C1141" t="str">
        <f>IFERROR(VLOOKUP(Таб[[#This Row],[Зелений Тариф ЕЦ]],Sheet6!$H$9:$I$29,2,FALSE),"")</f>
        <v>Дах</v>
      </c>
      <c r="G1141" s="1" t="s">
        <v>2670</v>
      </c>
      <c r="H1141" t="s">
        <v>233</v>
      </c>
      <c r="J1141" s="7">
        <v>0.29199999999999998</v>
      </c>
      <c r="K1141" s="8">
        <v>43823</v>
      </c>
      <c r="L1141" s="8">
        <v>43924</v>
      </c>
      <c r="M1141">
        <v>3</v>
      </c>
      <c r="N1141" s="49" t="s">
        <v>67</v>
      </c>
      <c r="O1141">
        <v>2020</v>
      </c>
      <c r="P1141">
        <v>0.16370000000000001</v>
      </c>
      <c r="Q1141" s="10"/>
      <c r="R1141" s="11">
        <f>ROUND(Таб[[#This Row],[Зелений Тариф ЕЦ]]+Таб[[#This Row],[Зелений Тариф ЕЦ]]*Таб[[#This Row],[% надбавки]],4)</f>
        <v>0.16370000000000001</v>
      </c>
      <c r="S1141" s="12"/>
      <c r="T1141"/>
      <c r="BD11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9.4026554913840599</v>
      </c>
      <c r="BE11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16.213376624439373</v>
      </c>
      <c r="BF11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27.353179611299076</v>
      </c>
      <c r="BG11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38.87901537493115</v>
      </c>
      <c r="BH11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47.868064319773389</v>
      </c>
      <c r="BI11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49.632785585018489</v>
      </c>
      <c r="BJ11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50.432424908332678</v>
      </c>
      <c r="BK11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43.594130005507907</v>
      </c>
      <c r="BL11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30.606884444094739</v>
      </c>
      <c r="BM11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19.660097845621213</v>
      </c>
      <c r="BN11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9.0993440239200574</v>
      </c>
      <c r="BO11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7.6930817656778654</v>
      </c>
      <c r="BP1141">
        <f>SUM(Таб[[#This Row],[1]:[12]])</f>
        <v>350.43504000000007</v>
      </c>
    </row>
    <row r="1142" spans="2:68" ht="38.25">
      <c r="B1142" t="s">
        <v>384</v>
      </c>
      <c r="C1142" t="str">
        <f>IFERROR(VLOOKUP(Таб[[#This Row],[Зелений Тариф ЕЦ]],Sheet6!$H$9:$I$29,2,FALSE),"")</f>
        <v>Земля</v>
      </c>
      <c r="G1142" s="1" t="s">
        <v>2672</v>
      </c>
      <c r="H1142" t="s">
        <v>69</v>
      </c>
      <c r="J1142" s="7">
        <v>1.498</v>
      </c>
      <c r="K1142" s="8">
        <v>43808</v>
      </c>
      <c r="L1142" s="8">
        <v>43924</v>
      </c>
      <c r="M1142">
        <v>3</v>
      </c>
      <c r="N1142" s="49" t="s">
        <v>67</v>
      </c>
      <c r="O1142">
        <v>2020</v>
      </c>
      <c r="P1142">
        <v>0.15029999999999999</v>
      </c>
      <c r="Q1142" s="10"/>
      <c r="R1142" s="11">
        <f>ROUND(Таб[[#This Row],[Зелений Тариф ЕЦ]]+Таб[[#This Row],[Зелений Тариф ЕЦ]]*Таб[[#This Row],[% надбавки]],4)</f>
        <v>0.15029999999999999</v>
      </c>
      <c r="S1142" s="12"/>
      <c r="T1142"/>
      <c r="BD11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48.236910705799048</v>
      </c>
      <c r="BE11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83.176843093870488</v>
      </c>
      <c r="BF11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140.32555841686991</v>
      </c>
      <c r="BG11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199.45467476591392</v>
      </c>
      <c r="BH11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245.56972722952241</v>
      </c>
      <c r="BI11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254.62298906286884</v>
      </c>
      <c r="BJ11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258.72524833110396</v>
      </c>
      <c r="BK11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223.64385872688649</v>
      </c>
      <c r="BL11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157.01750992210245</v>
      </c>
      <c r="BM11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100.85899511212526</v>
      </c>
      <c r="BN11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46.680881328192626</v>
      </c>
      <c r="BO11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39.466563304744675</v>
      </c>
      <c r="BP1142">
        <f>SUM(Таб[[#This Row],[1]:[12]])</f>
        <v>1797.7797599999999</v>
      </c>
    </row>
    <row r="1143" spans="2:68" ht="51">
      <c r="B1143" t="s">
        <v>384</v>
      </c>
      <c r="C1143" t="str">
        <f>IFERROR(VLOOKUP(Таб[[#This Row],[Зелений Тариф ЕЦ]],Sheet6!$H$9:$I$29,2,FALSE),"")</f>
        <v>Земля</v>
      </c>
      <c r="G1143" s="1" t="s">
        <v>2674</v>
      </c>
      <c r="H1143" t="s">
        <v>73</v>
      </c>
      <c r="J1143" s="7">
        <v>3.0350000000000001</v>
      </c>
      <c r="K1143" s="8">
        <v>43819</v>
      </c>
      <c r="L1143" s="8">
        <v>43924</v>
      </c>
      <c r="M1143">
        <v>3</v>
      </c>
      <c r="N1143" s="49" t="s">
        <v>67</v>
      </c>
      <c r="O1143">
        <v>2020</v>
      </c>
      <c r="P1143">
        <v>0.15029999999999999</v>
      </c>
      <c r="Q1143" s="10"/>
      <c r="R1143" s="11">
        <f>ROUND(Таб[[#This Row],[Зелений Тариф ЕЦ]]+Таб[[#This Row],[Зелений Тариф ЕЦ]]*Таб[[#This Row],[% надбавки]],4)</f>
        <v>0.15029999999999999</v>
      </c>
      <c r="S1143" s="12"/>
      <c r="T1143"/>
      <c r="BD11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97.729655535447336</v>
      </c>
      <c r="BE11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168.51917142182708</v>
      </c>
      <c r="BF11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284.30445246675583</v>
      </c>
      <c r="BG11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404.10209473601384</v>
      </c>
      <c r="BH11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497.53279181682274</v>
      </c>
      <c r="BI11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515.87501455661345</v>
      </c>
      <c r="BJ11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524.18633423558106</v>
      </c>
      <c r="BK11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453.11022111889218</v>
      </c>
      <c r="BL11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318.12292564324503</v>
      </c>
      <c r="BM11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204.34382521048073</v>
      </c>
      <c r="BN11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94.577086002045817</v>
      </c>
      <c r="BO11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79.960627256275089</v>
      </c>
      <c r="BP1143">
        <f>SUM(Таб[[#This Row],[1]:[12]])</f>
        <v>3642.3642</v>
      </c>
    </row>
    <row r="1144" spans="2:68" ht="38.25">
      <c r="B1144" t="s">
        <v>384</v>
      </c>
      <c r="C1144" t="str">
        <f>IFERROR(VLOOKUP(Таб[[#This Row],[Зелений Тариф ЕЦ]],Sheet6!$H$9:$I$29,2,FALSE),"")</f>
        <v>Земля</v>
      </c>
      <c r="G1144" s="1" t="s">
        <v>2676</v>
      </c>
      <c r="H1144" t="s">
        <v>172</v>
      </c>
      <c r="J1144" s="7">
        <v>1.085</v>
      </c>
      <c r="K1144" s="8">
        <v>43816</v>
      </c>
      <c r="L1144" s="8">
        <v>43936</v>
      </c>
      <c r="M1144">
        <v>4</v>
      </c>
      <c r="N1144" s="49" t="s">
        <v>2678</v>
      </c>
      <c r="O1144">
        <v>2020</v>
      </c>
      <c r="P1144">
        <v>0.15029999999999999</v>
      </c>
      <c r="Q1144" s="10"/>
      <c r="R1144" s="11">
        <f>ROUND(Таб[[#This Row],[Зелений Тариф ЕЦ]]+Таб[[#This Row],[Зелений Тариф ЕЦ]]*Таб[[#This Row],[% надбавки]],4)</f>
        <v>0.15029999999999999</v>
      </c>
      <c r="S1144" s="12"/>
      <c r="T1144"/>
      <c r="BD11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34.937949342985291</v>
      </c>
      <c r="BE11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60.244909717523015</v>
      </c>
      <c r="BF11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101.63767081595719</v>
      </c>
      <c r="BG11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144.46483452671333</v>
      </c>
      <c r="BH11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177.86592392792508</v>
      </c>
      <c r="BI11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184.42319301282555</v>
      </c>
      <c r="BJ11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187.39445556692107</v>
      </c>
      <c r="BK11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161.98503786293179</v>
      </c>
      <c r="BL11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113.72763569124243</v>
      </c>
      <c r="BM11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73.052075898969235</v>
      </c>
      <c r="BN11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33.810918719018019</v>
      </c>
      <c r="BO11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28.585594916987958</v>
      </c>
      <c r="BP1144">
        <f>SUM(Таб[[#This Row],[1]:[12]])</f>
        <v>1302.1301999999998</v>
      </c>
    </row>
    <row r="1145" spans="2:68" ht="114.75">
      <c r="B1145" t="s">
        <v>384</v>
      </c>
      <c r="C1145" t="str">
        <f>IFERROR(VLOOKUP(Таб[[#This Row],[Зелений Тариф ЕЦ]],Sheet6!$H$9:$I$29,2,FALSE),"")</f>
        <v>Дах</v>
      </c>
      <c r="G1145" s="1" t="s">
        <v>2679</v>
      </c>
      <c r="H1145" t="s">
        <v>98</v>
      </c>
      <c r="J1145" s="7">
        <v>0.56699999999999995</v>
      </c>
      <c r="K1145" s="8">
        <v>43804</v>
      </c>
      <c r="L1145" s="8">
        <v>43936</v>
      </c>
      <c r="M1145">
        <v>4</v>
      </c>
      <c r="N1145" s="49" t="s">
        <v>2678</v>
      </c>
      <c r="O1145">
        <v>2020</v>
      </c>
      <c r="P1145">
        <v>0.16370000000000001</v>
      </c>
      <c r="Q1145" s="10"/>
      <c r="R1145" s="11">
        <f>ROUND(Таб[[#This Row],[Зелений Тариф ЕЦ]]+Таб[[#This Row],[Зелений Тариф ЕЦ]]*Таб[[#This Row],[% надбавки]],4)</f>
        <v>0.16370000000000001</v>
      </c>
      <c r="S1145" s="12"/>
      <c r="T1145"/>
      <c r="BD11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18.257896108269733</v>
      </c>
      <c r="BE11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31.482823787866863</v>
      </c>
      <c r="BF11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53.113879587693759</v>
      </c>
      <c r="BG11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75.494526430088911</v>
      </c>
      <c r="BH11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92.949289278464065</v>
      </c>
      <c r="BI11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96.375991187347537</v>
      </c>
      <c r="BJ11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97.928715489810372</v>
      </c>
      <c r="BK11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84.650245592886932</v>
      </c>
      <c r="BL11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59.431861232197647</v>
      </c>
      <c r="BM11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38.175600953654886</v>
      </c>
      <c r="BN11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17.668931717680387</v>
      </c>
      <c r="BO11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14.93827863403887</v>
      </c>
      <c r="BP1145">
        <f>SUM(Таб[[#This Row],[1]:[12]])</f>
        <v>680.46803999999997</v>
      </c>
    </row>
    <row r="1146" spans="2:68" ht="25.5">
      <c r="B1146" t="s">
        <v>384</v>
      </c>
      <c r="C1146" t="str">
        <f>IFERROR(VLOOKUP(Таб[[#This Row],[Зелений Тариф ЕЦ]],Sheet6!$H$9:$I$29,2,FALSE),"")</f>
        <v>Дах</v>
      </c>
      <c r="G1146" s="1" t="s">
        <v>2681</v>
      </c>
      <c r="H1146" t="s">
        <v>163</v>
      </c>
      <c r="J1146" s="7">
        <v>0.122</v>
      </c>
      <c r="K1146" s="8">
        <v>43817</v>
      </c>
      <c r="L1146" s="8">
        <v>43936</v>
      </c>
      <c r="M1146">
        <v>4</v>
      </c>
      <c r="N1146" s="49" t="s">
        <v>2678</v>
      </c>
      <c r="O1146">
        <v>2020</v>
      </c>
      <c r="P1146">
        <v>0.16370000000000001</v>
      </c>
      <c r="Q1146" s="10"/>
      <c r="R1146" s="11">
        <f>ROUND(Таб[[#This Row],[Зелений Тариф ЕЦ]]+Таб[[#This Row],[Зелений Тариф ЕЦ]]*Таб[[#This Row],[% надбавки]],4)</f>
        <v>0.16370000000000001</v>
      </c>
      <c r="S1146" s="12"/>
      <c r="T1146"/>
      <c r="BD11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3.9285067464001888</v>
      </c>
      <c r="BE11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6.7740820143205607</v>
      </c>
      <c r="BF11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11.428383262255094</v>
      </c>
      <c r="BG11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16.243972177197264</v>
      </c>
      <c r="BH11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19.999670708946418</v>
      </c>
      <c r="BI11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20.736985758124163</v>
      </c>
      <c r="BJ11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21.071081639782832</v>
      </c>
      <c r="BK11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18.213985824219058</v>
      </c>
      <c r="BL11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12.787807884176569</v>
      </c>
      <c r="BM11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8.2141504697458494</v>
      </c>
      <c r="BN11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3.8017807223227638</v>
      </c>
      <c r="BO11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3.2142327925092458</v>
      </c>
      <c r="BP1146">
        <f>SUM(Таб[[#This Row],[1]:[12]])</f>
        <v>146.41464000000002</v>
      </c>
    </row>
    <row r="1147" spans="2:68" ht="25.5">
      <c r="B1147" t="s">
        <v>384</v>
      </c>
      <c r="C1147" t="str">
        <f>IFERROR(VLOOKUP(Таб[[#This Row],[Зелений Тариф ЕЦ]],Sheet6!$H$9:$I$29,2,FALSE),"")</f>
        <v>Дах</v>
      </c>
      <c r="G1147" s="1" t="s">
        <v>2681</v>
      </c>
      <c r="H1147" t="s">
        <v>163</v>
      </c>
      <c r="J1147" s="7">
        <v>0.19800000000000001</v>
      </c>
      <c r="K1147" s="8">
        <v>43817</v>
      </c>
      <c r="L1147" s="8">
        <v>43936</v>
      </c>
      <c r="M1147">
        <v>4</v>
      </c>
      <c r="N1147" s="49" t="s">
        <v>2678</v>
      </c>
      <c r="O1147">
        <v>2020</v>
      </c>
      <c r="P1147">
        <v>0.16370000000000001</v>
      </c>
      <c r="Q1147" s="10"/>
      <c r="R1147" s="11">
        <f>ROUND(Таб[[#This Row],[Зелений Тариф ЕЦ]]+Таб[[#This Row],[Зелений Тариф ЕЦ]]*Таб[[#This Row],[% надбавки]],4)</f>
        <v>0.16370000000000001</v>
      </c>
      <c r="S1147" s="12"/>
      <c r="T1147"/>
      <c r="BD11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6.3757732441576849</v>
      </c>
      <c r="BE11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10.994001957667797</v>
      </c>
      <c r="BF11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18.547703983004169</v>
      </c>
      <c r="BG11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26.363167959713586</v>
      </c>
      <c r="BH11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32.458481970257296</v>
      </c>
      <c r="BI11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33.655108033676925</v>
      </c>
      <c r="BJ11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34.197329218663938</v>
      </c>
      <c r="BK11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29.5604032229129</v>
      </c>
      <c r="BL11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20.753983287434103</v>
      </c>
      <c r="BM11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13.331162237784248</v>
      </c>
      <c r="BN11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6.1701031395074377</v>
      </c>
      <c r="BO11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5.2165417452199234</v>
      </c>
      <c r="BP1147">
        <f>SUM(Таб[[#This Row],[1]:[12]])</f>
        <v>237.62376</v>
      </c>
    </row>
    <row r="1148" spans="2:68" ht="38.25">
      <c r="B1148" t="s">
        <v>384</v>
      </c>
      <c r="C1148" t="str">
        <f>IFERROR(VLOOKUP(Таб[[#This Row],[Зелений Тариф ЕЦ]],Sheet6!$H$9:$I$29,2,FALSE),"")</f>
        <v>Дах</v>
      </c>
      <c r="G1148" s="1" t="s">
        <v>2684</v>
      </c>
      <c r="H1148" t="s">
        <v>107</v>
      </c>
      <c r="J1148" s="7">
        <v>0.14499999999999999</v>
      </c>
      <c r="K1148" s="8">
        <v>43841</v>
      </c>
      <c r="L1148" s="8">
        <v>43936</v>
      </c>
      <c r="M1148">
        <v>4</v>
      </c>
      <c r="N1148" s="49" t="s">
        <v>2678</v>
      </c>
      <c r="O1148">
        <v>2020</v>
      </c>
      <c r="P1148">
        <v>0.12280000000000001</v>
      </c>
      <c r="Q1148" s="10"/>
      <c r="R1148" s="11">
        <f>ROUND(Таб[[#This Row],[Зелений Тариф ЕЦ]]+Таб[[#This Row],[Зелений Тариф ЕЦ]]*Таб[[#This Row],[% надбавки]],4)</f>
        <v>0.12280000000000001</v>
      </c>
      <c r="S1148" s="12"/>
      <c r="T1148"/>
      <c r="BD11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4.6691268707215361</v>
      </c>
      <c r="BE11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8.0511630498072222</v>
      </c>
      <c r="BF11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13.582914533008104</v>
      </c>
      <c r="BG11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19.306360374537729</v>
      </c>
      <c r="BH11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23.770100432764185</v>
      </c>
      <c r="BI11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24.646417499409864</v>
      </c>
      <c r="BJ11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25.043498670233696</v>
      </c>
      <c r="BK11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21.647770036981665</v>
      </c>
      <c r="BL11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15.198624124636083</v>
      </c>
      <c r="BM11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9.7627198205995747</v>
      </c>
      <c r="BN11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4.5185098748918096</v>
      </c>
      <c r="BO11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3.8201947124085294</v>
      </c>
      <c r="BP1148">
        <f>SUM(Таб[[#This Row],[1]:[12]])</f>
        <v>174.01740000000001</v>
      </c>
    </row>
    <row r="1149" spans="2:68" ht="38.25">
      <c r="B1149" t="s">
        <v>384</v>
      </c>
      <c r="C1149" t="str">
        <f>IFERROR(VLOOKUP(Таб[[#This Row],[Зелений Тариф ЕЦ]],Sheet6!$H$9:$I$29,2,FALSE),"")</f>
        <v>Дах</v>
      </c>
      <c r="G1149" s="1" t="s">
        <v>2684</v>
      </c>
      <c r="H1149" t="s">
        <v>107</v>
      </c>
      <c r="J1149" s="7">
        <v>4.8000000000000001E-2</v>
      </c>
      <c r="K1149" s="8">
        <v>43841</v>
      </c>
      <c r="L1149" s="8">
        <v>43936</v>
      </c>
      <c r="M1149">
        <v>4</v>
      </c>
      <c r="N1149" s="49" t="s">
        <v>2678</v>
      </c>
      <c r="O1149">
        <v>2020</v>
      </c>
      <c r="P1149">
        <v>0.12280000000000001</v>
      </c>
      <c r="Q1149" s="10"/>
      <c r="R1149" s="11">
        <f>ROUND(Таб[[#This Row],[Зелений Тариф ЕЦ]]+Таб[[#This Row],[Зелений Тариф ЕЦ]]*Таб[[#This Row],[% надбавки]],4)</f>
        <v>0.12280000000000001</v>
      </c>
      <c r="S1149" s="12"/>
      <c r="T1149"/>
      <c r="BD11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1.5456419985836811</v>
      </c>
      <c r="BE11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2.6652125957982533</v>
      </c>
      <c r="BF11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4.4964130867888894</v>
      </c>
      <c r="BG11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6.3910710205366268</v>
      </c>
      <c r="BH11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7.8687229018805578</v>
      </c>
      <c r="BI11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8.1588140687701625</v>
      </c>
      <c r="BJ11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8.2902616287670163</v>
      </c>
      <c r="BK11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7.1661583570697935</v>
      </c>
      <c r="BL11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5.0312686757416012</v>
      </c>
      <c r="BM11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3.2317969061295146</v>
      </c>
      <c r="BN11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1.4957825792745298</v>
      </c>
      <c r="BO11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1.2646161806593752</v>
      </c>
      <c r="BP1149">
        <f>SUM(Таб[[#This Row],[1]:[12]])</f>
        <v>57.605760000000004</v>
      </c>
    </row>
    <row r="1150" spans="2:68" ht="38.25">
      <c r="B1150" t="s">
        <v>384</v>
      </c>
      <c r="C1150" t="str">
        <f>IFERROR(VLOOKUP(Таб[[#This Row],[Зелений Тариф ЕЦ]],Sheet6!$H$9:$I$29,2,FALSE),"")</f>
        <v>Дах</v>
      </c>
      <c r="G1150" s="1" t="s">
        <v>2684</v>
      </c>
      <c r="H1150" t="s">
        <v>107</v>
      </c>
      <c r="J1150" s="7">
        <v>4.8000000000000001E-2</v>
      </c>
      <c r="K1150" s="8">
        <v>43841</v>
      </c>
      <c r="L1150" s="8">
        <v>43936</v>
      </c>
      <c r="M1150">
        <v>4</v>
      </c>
      <c r="N1150" s="49" t="s">
        <v>2678</v>
      </c>
      <c r="O1150">
        <v>2020</v>
      </c>
      <c r="P1150">
        <v>0.12280000000000001</v>
      </c>
      <c r="Q1150" s="10"/>
      <c r="R1150" s="11">
        <f>ROUND(Таб[[#This Row],[Зелений Тариф ЕЦ]]+Таб[[#This Row],[Зелений Тариф ЕЦ]]*Таб[[#This Row],[% надбавки]],4)</f>
        <v>0.12280000000000001</v>
      </c>
      <c r="S1150" s="12"/>
      <c r="T1150"/>
      <c r="BD11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1.5456419985836811</v>
      </c>
      <c r="BE11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2.6652125957982533</v>
      </c>
      <c r="BF11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4.4964130867888894</v>
      </c>
      <c r="BG11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6.3910710205366268</v>
      </c>
      <c r="BH11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7.8687229018805578</v>
      </c>
      <c r="BI11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8.1588140687701625</v>
      </c>
      <c r="BJ11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8.2902616287670163</v>
      </c>
      <c r="BK11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7.1661583570697935</v>
      </c>
      <c r="BL11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5.0312686757416012</v>
      </c>
      <c r="BM11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3.2317969061295146</v>
      </c>
      <c r="BN11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1.4957825792745298</v>
      </c>
      <c r="BO11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1.2646161806593752</v>
      </c>
      <c r="BP1150">
        <f>SUM(Таб[[#This Row],[1]:[12]])</f>
        <v>57.605760000000004</v>
      </c>
    </row>
    <row r="1151" spans="2:68" ht="51">
      <c r="B1151" t="s">
        <v>384</v>
      </c>
      <c r="C1151" t="str">
        <f>IFERROR(VLOOKUP(Таб[[#This Row],[Зелений Тариф ЕЦ]],Sheet6!$H$9:$I$29,2,FALSE),"")</f>
        <v>Земля</v>
      </c>
      <c r="G1151" s="1" t="s">
        <v>2688</v>
      </c>
      <c r="H1151" t="s">
        <v>122</v>
      </c>
      <c r="J1151" s="7">
        <v>3.6890000000000001</v>
      </c>
      <c r="K1151" s="8">
        <v>43826</v>
      </c>
      <c r="L1151" s="8">
        <v>43943</v>
      </c>
      <c r="M1151">
        <v>4</v>
      </c>
      <c r="N1151" s="49" t="s">
        <v>2678</v>
      </c>
      <c r="O1151">
        <v>2020</v>
      </c>
      <c r="P1151">
        <v>0.15029999999999999</v>
      </c>
      <c r="Q1151" s="10"/>
      <c r="R1151" s="11">
        <f>ROUND(Таб[[#This Row],[Зелений Тариф ЕЦ]]+Таб[[#This Row],[Зелений Тариф ЕЦ]]*Таб[[#This Row],[% надбавки]],4)</f>
        <v>0.15029999999999999</v>
      </c>
      <c r="S1151" s="12"/>
      <c r="T1151"/>
      <c r="BD11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118.78902776614999</v>
      </c>
      <c r="BE11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204.83269303957826</v>
      </c>
      <c r="BF11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345.56808077425444</v>
      </c>
      <c r="BG11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491.18043739082543</v>
      </c>
      <c r="BH11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604.74414135494533</v>
      </c>
      <c r="BI11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627.03885624360692</v>
      </c>
      <c r="BJ11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637.14114892753173</v>
      </c>
      <c r="BK11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550.74912873396806</v>
      </c>
      <c r="BL11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386.67396135022432</v>
      </c>
      <c r="BM11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248.37705805649537</v>
      </c>
      <c r="BN11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114.95712364466128</v>
      </c>
      <c r="BO11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97.191022717759068</v>
      </c>
      <c r="BP1151">
        <f>SUM(Таб[[#This Row],[1]:[12]])</f>
        <v>4427.2426799999994</v>
      </c>
    </row>
    <row r="1152" spans="2:68" ht="25.5">
      <c r="B1152" t="s">
        <v>384</v>
      </c>
      <c r="C1152" t="str">
        <f>IFERROR(VLOOKUP(Таб[[#This Row],[Зелений Тариф ЕЦ]],Sheet6!$H$9:$I$29,2,FALSE),"")</f>
        <v>Дах</v>
      </c>
      <c r="G1152" s="1" t="s">
        <v>2690</v>
      </c>
      <c r="H1152" t="s">
        <v>107</v>
      </c>
      <c r="J1152" s="7">
        <v>0.185</v>
      </c>
      <c r="K1152" s="8">
        <v>43350</v>
      </c>
      <c r="L1152" s="8">
        <v>43943</v>
      </c>
      <c r="M1152">
        <v>4</v>
      </c>
      <c r="N1152" s="49" t="s">
        <v>2678</v>
      </c>
      <c r="O1152">
        <v>2020</v>
      </c>
      <c r="P1152">
        <v>0.16370000000000001</v>
      </c>
      <c r="Q1152" s="10"/>
      <c r="R1152" s="11">
        <f>ROUND(Таб[[#This Row],[Зелений Тариф ЕЦ]]+Таб[[#This Row],[Зелений Тариф ЕЦ]]*Таб[[#This Row],[% надбавки]],4)</f>
        <v>0.16370000000000001</v>
      </c>
      <c r="S1152" s="12"/>
      <c r="T1152"/>
      <c r="BD11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5.9571618695412711</v>
      </c>
      <c r="BE11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10.272173546305767</v>
      </c>
      <c r="BF11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17.329925438665512</v>
      </c>
      <c r="BG11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24.632252891651582</v>
      </c>
      <c r="BH11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30.327369517664643</v>
      </c>
      <c r="BI11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31.445429223385002</v>
      </c>
      <c r="BJ11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31.952050027539538</v>
      </c>
      <c r="BK11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27.61956866787316</v>
      </c>
      <c r="BL11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19.391348021087421</v>
      </c>
      <c r="BM11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12.455883909040836</v>
      </c>
      <c r="BN11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5.7649953576205846</v>
      </c>
      <c r="BO11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4.8740415296246749</v>
      </c>
      <c r="BP1152">
        <f>SUM(Таб[[#This Row],[1]:[12]])</f>
        <v>222.02219999999997</v>
      </c>
    </row>
    <row r="1153" spans="2:68" ht="63.75">
      <c r="B1153" t="s">
        <v>384</v>
      </c>
      <c r="C1153" t="str">
        <f>IFERROR(VLOOKUP(Таб[[#This Row],[Зелений Тариф ЕЦ]],Sheet6!$H$9:$I$29,2,FALSE),"")</f>
        <v>Дах</v>
      </c>
      <c r="G1153" s="1" t="s">
        <v>2692</v>
      </c>
      <c r="H1153" t="s">
        <v>198</v>
      </c>
      <c r="J1153" s="7">
        <v>0.35299999999999998</v>
      </c>
      <c r="K1153" s="8">
        <v>43817</v>
      </c>
      <c r="L1153" s="8">
        <v>43943</v>
      </c>
      <c r="M1153">
        <v>4</v>
      </c>
      <c r="N1153" s="49" t="s">
        <v>2678</v>
      </c>
      <c r="O1153">
        <v>2020</v>
      </c>
      <c r="P1153">
        <v>0.16370000000000001</v>
      </c>
      <c r="Q1153" s="10"/>
      <c r="R1153" s="11">
        <f>ROUND(Таб[[#This Row],[Зелений Тариф ЕЦ]]+Таб[[#This Row],[Зелений Тариф ЕЦ]]*Таб[[#This Row],[% надбавки]],4)</f>
        <v>0.16370000000000001</v>
      </c>
      <c r="S1153" s="12"/>
      <c r="T1153"/>
      <c r="BD11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11.366908864584154</v>
      </c>
      <c r="BE11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19.600417631599655</v>
      </c>
      <c r="BF11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33.067371242426617</v>
      </c>
      <c r="BG11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47.001001463529775</v>
      </c>
      <c r="BH11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57.867899674246594</v>
      </c>
      <c r="BI11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60.001278464080563</v>
      </c>
      <c r="BJ11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60.967965728224087</v>
      </c>
      <c r="BK11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52.70112291761744</v>
      </c>
      <c r="BL11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37.000788386183018</v>
      </c>
      <c r="BM11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23.767173080494139</v>
      </c>
      <c r="BN11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11.000234385081439</v>
      </c>
      <c r="BO11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9.3001981619324887</v>
      </c>
      <c r="BP1153">
        <f>SUM(Таб[[#This Row],[1]:[12]])</f>
        <v>423.64236000000005</v>
      </c>
    </row>
    <row r="1154" spans="2:68" ht="38.25">
      <c r="B1154" t="s">
        <v>384</v>
      </c>
      <c r="C1154" t="str">
        <f>IFERROR(VLOOKUP(Таб[[#This Row],[Зелений Тариф ЕЦ]],Sheet6!$H$9:$I$29,2,FALSE),"")</f>
        <v>Дах</v>
      </c>
      <c r="G1154" s="1" t="s">
        <v>2694</v>
      </c>
      <c r="H1154" t="s">
        <v>69</v>
      </c>
      <c r="J1154" s="7">
        <v>7.6999999999999999E-2</v>
      </c>
      <c r="K1154" s="8">
        <v>43788</v>
      </c>
      <c r="L1154" s="8">
        <v>43943</v>
      </c>
      <c r="M1154">
        <v>4</v>
      </c>
      <c r="N1154" s="49" t="s">
        <v>2678</v>
      </c>
      <c r="O1154">
        <v>2020</v>
      </c>
      <c r="P1154">
        <v>0.16370000000000001</v>
      </c>
      <c r="Q1154" s="10"/>
      <c r="R1154" s="11">
        <f>ROUND(Таб[[#This Row],[Зелений Тариф ЕЦ]]+Таб[[#This Row],[Зелений Тариф ЕЦ]]*Таб[[#This Row],[% надбавки]],4)</f>
        <v>0.16370000000000001</v>
      </c>
      <c r="S1154" s="12"/>
      <c r="T1154"/>
      <c r="BD11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2.4794673727279886</v>
      </c>
      <c r="BE11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4.2754452057596977</v>
      </c>
      <c r="BF11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7.2129959933905106</v>
      </c>
      <c r="BG11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10.252343095444173</v>
      </c>
      <c r="BH11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12.622742988433394</v>
      </c>
      <c r="BI11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13.088097568652136</v>
      </c>
      <c r="BJ11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13.298961362813754</v>
      </c>
      <c r="BK11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11.495712364466126</v>
      </c>
      <c r="BL11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8.0709935006688163</v>
      </c>
      <c r="BM11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5.1843408702494287</v>
      </c>
      <c r="BN11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2.3994845542528922</v>
      </c>
      <c r="BO11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2.028655123141081</v>
      </c>
      <c r="BP1154">
        <f>SUM(Таб[[#This Row],[1]:[12]])</f>
        <v>92.409240000000011</v>
      </c>
    </row>
    <row r="1155" spans="2:68" ht="38.25">
      <c r="B1155" t="s">
        <v>384</v>
      </c>
      <c r="C1155" t="str">
        <f>IFERROR(VLOOKUP(Таб[[#This Row],[Зелений Тариф ЕЦ]],Sheet6!$H$9:$I$29,2,FALSE),"")</f>
        <v>Дах</v>
      </c>
      <c r="G1155" s="1" t="s">
        <v>2696</v>
      </c>
      <c r="H1155" t="s">
        <v>107</v>
      </c>
      <c r="J1155" s="7">
        <v>1.425</v>
      </c>
      <c r="K1155" s="8">
        <v>43819</v>
      </c>
      <c r="L1155" s="8">
        <v>43943</v>
      </c>
      <c r="M1155">
        <v>4</v>
      </c>
      <c r="N1155" s="49" t="s">
        <v>2678</v>
      </c>
      <c r="O1155">
        <v>2020</v>
      </c>
      <c r="P1155">
        <v>0.16370000000000001</v>
      </c>
      <c r="Q1155" s="10"/>
      <c r="R1155" s="11">
        <f>ROUND(Таб[[#This Row],[Зелений Тариф ЕЦ]]+Таб[[#This Row],[Зелений Тариф ЕЦ]]*Таб[[#This Row],[% надбавки]],4)</f>
        <v>0.16370000000000001</v>
      </c>
      <c r="S1155" s="12"/>
      <c r="T1155"/>
      <c r="BD11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45.886246832953034</v>
      </c>
      <c r="BE11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79.123498937760644</v>
      </c>
      <c r="BF11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133.48726351404517</v>
      </c>
      <c r="BG11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189.73492092218115</v>
      </c>
      <c r="BH11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233.60271114957902</v>
      </c>
      <c r="BI11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242.21479266661419</v>
      </c>
      <c r="BJ11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246.11714210402076</v>
      </c>
      <c r="BK11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212.74532622550953</v>
      </c>
      <c r="BL11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149.36578881107877</v>
      </c>
      <c r="BM11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95.943970650719962</v>
      </c>
      <c r="BN11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44.406045322212613</v>
      </c>
      <c r="BO11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37.543292863325206</v>
      </c>
      <c r="BP1155">
        <f>SUM(Таб[[#This Row],[1]:[12]])</f>
        <v>1710.1710000000003</v>
      </c>
    </row>
    <row r="1156" spans="2:68" ht="51">
      <c r="B1156" t="s">
        <v>384</v>
      </c>
      <c r="C1156" t="str">
        <f>IFERROR(VLOOKUP(Таб[[#This Row],[Зелений Тариф ЕЦ]],Sheet6!$H$9:$I$29,2,FALSE),"")</f>
        <v>Дах</v>
      </c>
      <c r="G1156" s="1" t="s">
        <v>2698</v>
      </c>
      <c r="H1156" t="s">
        <v>1465</v>
      </c>
      <c r="J1156" s="7">
        <v>5.8000000000000003E-2</v>
      </c>
      <c r="K1156" s="8">
        <v>43917</v>
      </c>
      <c r="L1156" s="8">
        <v>43943</v>
      </c>
      <c r="M1156">
        <v>4</v>
      </c>
      <c r="N1156" s="49" t="s">
        <v>2678</v>
      </c>
      <c r="O1156">
        <v>2020</v>
      </c>
      <c r="P1156">
        <v>0.12280000000000001</v>
      </c>
      <c r="Q1156" s="10"/>
      <c r="R1156" s="11">
        <f>ROUND(Таб[[#This Row],[Зелений Тариф ЕЦ]]+Таб[[#This Row],[Зелений Тариф ЕЦ]]*Таб[[#This Row],[% надбавки]],4)</f>
        <v>0.12280000000000001</v>
      </c>
      <c r="S1156" s="12"/>
      <c r="T1156"/>
      <c r="BD11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1.8676507482886149</v>
      </c>
      <c r="BE11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3.2204652199228896</v>
      </c>
      <c r="BF11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5.4331658132032414</v>
      </c>
      <c r="BG11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7.722544149815092</v>
      </c>
      <c r="BH11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9.5080401731056732</v>
      </c>
      <c r="BI11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9.8585669997639478</v>
      </c>
      <c r="BJ11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10.017399468093478</v>
      </c>
      <c r="BK11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8.6591080147926665</v>
      </c>
      <c r="BL11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6.0794496498544355</v>
      </c>
      <c r="BM11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3.9050879282398299</v>
      </c>
      <c r="BN11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1.8074039499567243</v>
      </c>
      <c r="BO11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1.528077884963412</v>
      </c>
      <c r="BP1156">
        <f>SUM(Таб[[#This Row],[1]:[12]])</f>
        <v>69.606959999999987</v>
      </c>
    </row>
    <row r="1157" spans="2:68" ht="102">
      <c r="B1157" t="s">
        <v>384</v>
      </c>
      <c r="C1157" t="str">
        <f>IFERROR(VLOOKUP(Таб[[#This Row],[Зелений Тариф ЕЦ]],Sheet6!$H$9:$I$29,2,FALSE),"")</f>
        <v>Земля</v>
      </c>
      <c r="G1157" s="1" t="s">
        <v>2700</v>
      </c>
      <c r="H1157" t="s">
        <v>65</v>
      </c>
      <c r="J1157" s="7">
        <v>2.9020000000000001</v>
      </c>
      <c r="K1157" s="8">
        <v>43927</v>
      </c>
      <c r="L1157" s="8">
        <v>43943</v>
      </c>
      <c r="M1157">
        <v>4</v>
      </c>
      <c r="N1157" s="49" t="s">
        <v>2678</v>
      </c>
      <c r="O1157">
        <v>2020</v>
      </c>
      <c r="P1157">
        <v>0.11260000000000001</v>
      </c>
      <c r="Q1157" s="10"/>
      <c r="R1157" s="11">
        <f>ROUND(Таб[[#This Row],[Зелений Тариф ЕЦ]]+Таб[[#This Row],[Зелений Тариф ЕЦ]]*Таб[[#This Row],[% надбавки]],4)</f>
        <v>0.11260000000000001</v>
      </c>
      <c r="S1157" s="12"/>
      <c r="T1157"/>
      <c r="BD11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93.446939164371727</v>
      </c>
      <c r="BE11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161.13431152096942</v>
      </c>
      <c r="BF11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271.84564120544496</v>
      </c>
      <c r="BG11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386.39350211661031</v>
      </c>
      <c r="BH11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475.72987210952874</v>
      </c>
      <c r="BI11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493.26830057439622</v>
      </c>
      <c r="BJ11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501.21540097253916</v>
      </c>
      <c r="BK11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433.25399067117797</v>
      </c>
      <c r="BL11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304.18211868754429</v>
      </c>
      <c r="BM11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195.38905461641357</v>
      </c>
      <c r="BN11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90.432521771972645</v>
      </c>
      <c r="BO11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76.456586589031389</v>
      </c>
      <c r="BP1157">
        <f>SUM(Таб[[#This Row],[1]:[12]])</f>
        <v>3482.7482399999999</v>
      </c>
    </row>
    <row r="1158" spans="2:68" ht="51">
      <c r="B1158" t="s">
        <v>384</v>
      </c>
      <c r="C1158" t="str">
        <f>IFERROR(VLOOKUP(Таб[[#This Row],[Зелений Тариф ЕЦ]],Sheet6!$H$9:$I$29,2,FALSE),"")</f>
        <v>Земля</v>
      </c>
      <c r="G1158" s="1" t="s">
        <v>2105</v>
      </c>
      <c r="H1158" t="s">
        <v>1257</v>
      </c>
      <c r="J1158" s="7">
        <v>1.0840000000000001</v>
      </c>
      <c r="K1158" s="8">
        <v>43801</v>
      </c>
      <c r="L1158" s="8">
        <v>43943</v>
      </c>
      <c r="M1158">
        <v>4</v>
      </c>
      <c r="N1158" s="49" t="s">
        <v>2678</v>
      </c>
      <c r="O1158">
        <v>2020</v>
      </c>
      <c r="P1158">
        <v>0.15029999999999999</v>
      </c>
      <c r="Q1158" s="10"/>
      <c r="R1158" s="11">
        <f>ROUND(Таб[[#This Row],[Зелений Тариф ЕЦ]]+Таб[[#This Row],[Зелений Тариф ЕЦ]]*Таб[[#This Row],[% надбавки]],4)</f>
        <v>0.15029999999999999</v>
      </c>
      <c r="S1158" s="12"/>
      <c r="T1158"/>
      <c r="BD11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34.905748468014799</v>
      </c>
      <c r="BE11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60.189384455110556</v>
      </c>
      <c r="BF11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101.54399554331576</v>
      </c>
      <c r="BG11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144.33168721378553</v>
      </c>
      <c r="BH11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177.70199220080258</v>
      </c>
      <c r="BI11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184.25321771972622</v>
      </c>
      <c r="BJ11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187.22174178298846</v>
      </c>
      <c r="BK11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161.83574289715952</v>
      </c>
      <c r="BL11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113.62281759383114</v>
      </c>
      <c r="BM11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72.984746796758202</v>
      </c>
      <c r="BN11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33.779756581949805</v>
      </c>
      <c r="BO11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28.559248746557557</v>
      </c>
      <c r="BP1158">
        <f>SUM(Таб[[#This Row],[1]:[12]])</f>
        <v>1300.9300800000001</v>
      </c>
    </row>
    <row r="1159" spans="2:68" ht="51">
      <c r="B1159" t="s">
        <v>384</v>
      </c>
      <c r="C1159" t="str">
        <f>IFERROR(VLOOKUP(Таб[[#This Row],[Зелений Тариф ЕЦ]],Sheet6!$H$9:$I$29,2,FALSE),"")</f>
        <v>Земля</v>
      </c>
      <c r="G1159" s="1" t="s">
        <v>2105</v>
      </c>
      <c r="H1159" t="s">
        <v>1257</v>
      </c>
      <c r="J1159" s="7">
        <v>1.085</v>
      </c>
      <c r="K1159" s="8">
        <v>43801</v>
      </c>
      <c r="L1159" s="8">
        <v>43943</v>
      </c>
      <c r="M1159">
        <v>4</v>
      </c>
      <c r="N1159" s="49" t="s">
        <v>2678</v>
      </c>
      <c r="O1159">
        <v>2020</v>
      </c>
      <c r="P1159">
        <v>0.15029999999999999</v>
      </c>
      <c r="Q1159" s="10"/>
      <c r="R1159" s="11">
        <f>ROUND(Таб[[#This Row],[Зелений Тариф ЕЦ]]+Таб[[#This Row],[Зелений Тариф ЕЦ]]*Таб[[#This Row],[% надбавки]],4)</f>
        <v>0.15029999999999999</v>
      </c>
      <c r="S1159" s="12"/>
      <c r="T1159"/>
      <c r="BD11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34.937949342985291</v>
      </c>
      <c r="BE11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60.244909717523015</v>
      </c>
      <c r="BF11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101.63767081595719</v>
      </c>
      <c r="BG11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144.46483452671333</v>
      </c>
      <c r="BH11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177.86592392792508</v>
      </c>
      <c r="BI11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184.42319301282555</v>
      </c>
      <c r="BJ11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187.39445556692107</v>
      </c>
      <c r="BK11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161.98503786293179</v>
      </c>
      <c r="BL11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113.72763569124243</v>
      </c>
      <c r="BM11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73.052075898969235</v>
      </c>
      <c r="BN11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33.810918719018019</v>
      </c>
      <c r="BO11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28.585594916987958</v>
      </c>
      <c r="BP1159">
        <f>SUM(Таб[[#This Row],[1]:[12]])</f>
        <v>1302.1301999999998</v>
      </c>
    </row>
    <row r="1160" spans="2:68" ht="38.25">
      <c r="B1160" t="s">
        <v>384</v>
      </c>
      <c r="C1160" t="str">
        <f>IFERROR(VLOOKUP(Таб[[#This Row],[Зелений Тариф ЕЦ]],Sheet6!$H$9:$I$29,2,FALSE),"")</f>
        <v>Земля</v>
      </c>
      <c r="G1160" s="1" t="s">
        <v>2704</v>
      </c>
      <c r="H1160" t="s">
        <v>65</v>
      </c>
      <c r="J1160" s="7">
        <v>1.1299999999999999</v>
      </c>
      <c r="K1160" s="8">
        <v>43825</v>
      </c>
      <c r="L1160" s="8">
        <v>43943</v>
      </c>
      <c r="M1160">
        <v>4</v>
      </c>
      <c r="N1160" s="49" t="s">
        <v>2678</v>
      </c>
      <c r="O1160">
        <v>2020</v>
      </c>
      <c r="P1160">
        <v>0.15029999999999999</v>
      </c>
      <c r="Q1160" s="10"/>
      <c r="R1160" s="11">
        <f>ROUND(Таб[[#This Row],[Зелений Тариф ЕЦ]]+Таб[[#This Row],[Зелений Тариф ЕЦ]]*Таб[[#This Row],[% надбавки]],4)</f>
        <v>0.15029999999999999</v>
      </c>
      <c r="S1160" s="12"/>
      <c r="T1160"/>
      <c r="BD11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36.386988716657484</v>
      </c>
      <c r="BE11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62.743546526083875</v>
      </c>
      <c r="BF11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105.85305808482175</v>
      </c>
      <c r="BG11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150.45646360846644</v>
      </c>
      <c r="BH11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185.24285164843809</v>
      </c>
      <c r="BI11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192.07208120229754</v>
      </c>
      <c r="BJ11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195.16657584389017</v>
      </c>
      <c r="BK11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168.7033113226847</v>
      </c>
      <c r="BL11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118.44445007475018</v>
      </c>
      <c r="BM11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76.081885498465653</v>
      </c>
      <c r="BN11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35.213214887087894</v>
      </c>
      <c r="BO11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29.771172586356123</v>
      </c>
      <c r="BP1160">
        <f>SUM(Таб[[#This Row],[1]:[12]])</f>
        <v>1356.1356000000001</v>
      </c>
    </row>
    <row r="1161" spans="2:68" ht="38.25">
      <c r="B1161" t="s">
        <v>384</v>
      </c>
      <c r="C1161" t="str">
        <f>IFERROR(VLOOKUP(Таб[[#This Row],[Зелений Тариф ЕЦ]],Sheet6!$H$9:$I$29,2,FALSE),"")</f>
        <v>Дах</v>
      </c>
      <c r="G1161" s="1" t="s">
        <v>2561</v>
      </c>
      <c r="H1161" t="s">
        <v>65</v>
      </c>
      <c r="J1161" s="7">
        <v>0.34699999999999998</v>
      </c>
      <c r="K1161" s="8">
        <v>43808</v>
      </c>
      <c r="L1161" s="8">
        <v>43943</v>
      </c>
      <c r="M1161">
        <v>4</v>
      </c>
      <c r="N1161" s="49" t="s">
        <v>2678</v>
      </c>
      <c r="O1161">
        <v>2020</v>
      </c>
      <c r="P1161">
        <v>0.16370000000000001</v>
      </c>
      <c r="Q1161" s="10"/>
      <c r="R1161" s="11">
        <f>ROUND(Таб[[#This Row],[Зелений Тариф ЕЦ]]+Таб[[#This Row],[Зелений Тариф ЕЦ]]*Таб[[#This Row],[% надбавки]],4)</f>
        <v>0.16370000000000001</v>
      </c>
      <c r="S1161" s="12"/>
      <c r="T1161"/>
      <c r="BD11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11.173703614761193</v>
      </c>
      <c r="BE11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19.267266057124871</v>
      </c>
      <c r="BF11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32.505319606578013</v>
      </c>
      <c r="BG11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46.202117585962696</v>
      </c>
      <c r="BH11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56.884309311511529</v>
      </c>
      <c r="BI11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58.981426705484303</v>
      </c>
      <c r="BJ11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59.931683024628207</v>
      </c>
      <c r="BK11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51.805353122983711</v>
      </c>
      <c r="BL11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36.371879801715323</v>
      </c>
      <c r="BM11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23.363198467227946</v>
      </c>
      <c r="BN11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10.813261562672123</v>
      </c>
      <c r="BO11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9.142121139350067</v>
      </c>
      <c r="BP1161">
        <f>SUM(Таб[[#This Row],[1]:[12]])</f>
        <v>416.44164000000001</v>
      </c>
    </row>
    <row r="1162" spans="2:68" ht="38.25">
      <c r="B1162" t="s">
        <v>384</v>
      </c>
      <c r="C1162" t="str">
        <f>IFERROR(VLOOKUP(Таб[[#This Row],[Зелений Тариф ЕЦ]],Sheet6!$H$9:$I$29,2,FALSE),"")</f>
        <v>Дах</v>
      </c>
      <c r="G1162" s="1" t="s">
        <v>2561</v>
      </c>
      <c r="H1162" t="s">
        <v>65</v>
      </c>
      <c r="J1162" s="7">
        <v>0.53300000000000003</v>
      </c>
      <c r="K1162" s="8">
        <v>43819</v>
      </c>
      <c r="L1162" s="8">
        <v>43943</v>
      </c>
      <c r="M1162">
        <v>4</v>
      </c>
      <c r="N1162" s="49" t="s">
        <v>2678</v>
      </c>
      <c r="O1162">
        <v>2020</v>
      </c>
      <c r="P1162">
        <v>0.16370000000000001</v>
      </c>
      <c r="Q1162" s="10"/>
      <c r="R1162" s="11">
        <f>ROUND(Таб[[#This Row],[Зелений Тариф ЕЦ]]+Таб[[#This Row],[Зелений Тариф ЕЦ]]*Таб[[#This Row],[% надбавки]],4)</f>
        <v>0.16370000000000001</v>
      </c>
      <c r="S1162" s="12"/>
      <c r="T1162"/>
      <c r="BD11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17.16306635927296</v>
      </c>
      <c r="BE11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29.594964865843103</v>
      </c>
      <c r="BF11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49.928920317884959</v>
      </c>
      <c r="BG11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70.967517790542132</v>
      </c>
      <c r="BH11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87.375610556298696</v>
      </c>
      <c r="BI11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90.596831221968671</v>
      </c>
      <c r="BJ11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92.056446836100406</v>
      </c>
      <c r="BK11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79.57421675662917</v>
      </c>
      <c r="BL11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55.868045920214023</v>
      </c>
      <c r="BM11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35.886411478479815</v>
      </c>
      <c r="BN11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16.609419057360931</v>
      </c>
      <c r="BO11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14.042508839405148</v>
      </c>
      <c r="BP1162">
        <f>SUM(Таб[[#This Row],[1]:[12]])</f>
        <v>639.66395999999997</v>
      </c>
    </row>
    <row r="1163" spans="2:68" ht="51">
      <c r="B1163" t="s">
        <v>384</v>
      </c>
      <c r="C1163" t="str">
        <f>IFERROR(VLOOKUP(Таб[[#This Row],[Зелений Тариф ЕЦ]],Sheet6!$H$9:$I$29,2,FALSE),"")</f>
        <v>Земля</v>
      </c>
      <c r="G1163" s="1" t="s">
        <v>2708</v>
      </c>
      <c r="H1163" t="s">
        <v>65</v>
      </c>
      <c r="J1163" s="7">
        <v>2.7570000000000001</v>
      </c>
      <c r="K1163" s="8">
        <v>43826</v>
      </c>
      <c r="L1163" s="8">
        <v>43957</v>
      </c>
      <c r="M1163">
        <v>5</v>
      </c>
      <c r="N1163" s="49" t="s">
        <v>2678</v>
      </c>
      <c r="O1163">
        <v>2020</v>
      </c>
      <c r="P1163">
        <v>0.15029999999999999</v>
      </c>
      <c r="Q1163" s="10"/>
      <c r="R1163" s="11">
        <f>ROUND(Таб[[#This Row],[Зелений Тариф ЕЦ]]+Таб[[#This Row],[Зелений Тариф ЕЦ]]*Таб[[#This Row],[% надбавки]],4)</f>
        <v>0.15029999999999999</v>
      </c>
      <c r="S1163" s="12"/>
      <c r="T1163"/>
      <c r="BD11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88.777812293650186</v>
      </c>
      <c r="BE11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153.08314847116219</v>
      </c>
      <c r="BF11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258.26272667243688</v>
      </c>
      <c r="BG11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367.08714174207256</v>
      </c>
      <c r="BH11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451.9597716767646</v>
      </c>
      <c r="BI11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468.62188307498627</v>
      </c>
      <c r="BJ11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476.17190230230551</v>
      </c>
      <c r="BK11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411.60622063419635</v>
      </c>
      <c r="BL11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288.98349456290816</v>
      </c>
      <c r="BM11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185.62633479581399</v>
      </c>
      <c r="BN11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85.914011897080826</v>
      </c>
      <c r="BO11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72.636391876622866</v>
      </c>
      <c r="BP1163">
        <f>SUM(Таб[[#This Row],[1]:[12]])</f>
        <v>3308.7308400000002</v>
      </c>
    </row>
    <row r="1164" spans="2:68" ht="51">
      <c r="B1164" t="s">
        <v>384</v>
      </c>
      <c r="C1164" t="str">
        <f>IFERROR(VLOOKUP(Таб[[#This Row],[Зелений Тариф ЕЦ]],Sheet6!$H$9:$I$29,2,FALSE),"")</f>
        <v>Дах</v>
      </c>
      <c r="G1164" s="1" t="s">
        <v>2710</v>
      </c>
      <c r="H1164" t="s">
        <v>82</v>
      </c>
      <c r="J1164" s="7">
        <v>0.23499999999999999</v>
      </c>
      <c r="K1164" s="8">
        <v>43808</v>
      </c>
      <c r="L1164" s="8">
        <v>43957</v>
      </c>
      <c r="M1164">
        <v>5</v>
      </c>
      <c r="N1164" s="49" t="s">
        <v>2678</v>
      </c>
      <c r="O1164">
        <v>2020</v>
      </c>
      <c r="P1164">
        <v>0.16370000000000001</v>
      </c>
      <c r="Q1164" s="10"/>
      <c r="R1164" s="11">
        <f>ROUND(Таб[[#This Row],[Зелений Тариф ЕЦ]]+Таб[[#This Row],[Зелений Тариф ЕЦ]]*Таб[[#This Row],[% надбавки]],4)</f>
        <v>0.16370000000000001</v>
      </c>
      <c r="S1164" s="12"/>
      <c r="T1164"/>
      <c r="BD11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7.5672056180659375</v>
      </c>
      <c r="BE11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13.048436666928948</v>
      </c>
      <c r="BF11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22.013689070737271</v>
      </c>
      <c r="BG11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31.289618538043904</v>
      </c>
      <c r="BH11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38.523955873790229</v>
      </c>
      <c r="BI11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39.944193878353921</v>
      </c>
      <c r="BJ11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40.587739224171841</v>
      </c>
      <c r="BK11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35.084316956487527</v>
      </c>
      <c r="BL11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24.632252891651589</v>
      </c>
      <c r="BM11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15.822339019592416</v>
      </c>
      <c r="BN11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7.3231022110315527</v>
      </c>
      <c r="BO11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6.1913500511448571</v>
      </c>
      <c r="BP1164">
        <f>SUM(Таб[[#This Row],[1]:[12]])</f>
        <v>282.02819999999997</v>
      </c>
    </row>
    <row r="1165" spans="2:68" ht="25.5">
      <c r="B1165" t="s">
        <v>384</v>
      </c>
      <c r="C1165" t="str">
        <f>IFERROR(VLOOKUP(Таб[[#This Row],[Зелений Тариф ЕЦ]],Sheet6!$H$9:$I$29,2,FALSE),"")</f>
        <v>Дах</v>
      </c>
      <c r="G1165" s="1" t="s">
        <v>2712</v>
      </c>
      <c r="H1165" t="s">
        <v>65</v>
      </c>
      <c r="J1165" s="7">
        <v>0.16900000000000001</v>
      </c>
      <c r="K1165" s="8">
        <v>43929</v>
      </c>
      <c r="L1165" s="8">
        <v>43957</v>
      </c>
      <c r="M1165">
        <v>5</v>
      </c>
      <c r="N1165" s="49" t="s">
        <v>2678</v>
      </c>
      <c r="O1165">
        <v>2020</v>
      </c>
      <c r="P1165">
        <v>0.12280000000000001</v>
      </c>
      <c r="Q1165" s="10"/>
      <c r="R1165" s="11">
        <f>ROUND(Таб[[#This Row],[Зелений Тариф ЕЦ]]+Таб[[#This Row],[Зелений Тариф ЕЦ]]*Таб[[#This Row],[% надбавки]],4)</f>
        <v>0.12280000000000001</v>
      </c>
      <c r="S1165" s="12"/>
      <c r="T1165"/>
      <c r="BD11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5.4419478700133777</v>
      </c>
      <c r="BE11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9.38376934770635</v>
      </c>
      <c r="BF11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15.83112107640255</v>
      </c>
      <c r="BG11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22.501895884806043</v>
      </c>
      <c r="BH11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27.704461883704464</v>
      </c>
      <c r="BI11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28.725824533794949</v>
      </c>
      <c r="BJ11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29.188629484617202</v>
      </c>
      <c r="BK11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25.230849215516564</v>
      </c>
      <c r="BL11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17.714258462506887</v>
      </c>
      <c r="BM11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11.378618273664332</v>
      </c>
      <c r="BN11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5.2664011645290749</v>
      </c>
      <c r="BO11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4.4525028027382172</v>
      </c>
      <c r="BP1165">
        <f>SUM(Таб[[#This Row],[1]:[12]])</f>
        <v>202.82028</v>
      </c>
    </row>
    <row r="1166" spans="2:68" ht="63.75">
      <c r="B1166" t="s">
        <v>384</v>
      </c>
      <c r="C1166" t="str">
        <f>IFERROR(VLOOKUP(Таб[[#This Row],[Зелений Тариф ЕЦ]],Sheet6!$H$9:$I$29,2,FALSE),"")</f>
        <v>Дах</v>
      </c>
      <c r="G1166" s="1" t="s">
        <v>1997</v>
      </c>
      <c r="H1166" t="s">
        <v>62</v>
      </c>
      <c r="J1166" s="7">
        <v>0.18</v>
      </c>
      <c r="K1166" s="8">
        <v>43810</v>
      </c>
      <c r="L1166" s="8">
        <v>43957</v>
      </c>
      <c r="M1166">
        <v>5</v>
      </c>
      <c r="N1166" s="49" t="s">
        <v>2678</v>
      </c>
      <c r="O1166">
        <v>2020</v>
      </c>
      <c r="P1166">
        <v>0.16370000000000001</v>
      </c>
      <c r="Q1166" s="10"/>
      <c r="R1166" s="11">
        <f>ROUND(Таб[[#This Row],[Зелений Тариф ЕЦ]]+Таб[[#This Row],[Зелений Тариф ЕЦ]]*Таб[[#This Row],[% надбавки]],4)</f>
        <v>0.16370000000000001</v>
      </c>
      <c r="S1166" s="12"/>
      <c r="T1166"/>
      <c r="BD11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5.7961574946888037</v>
      </c>
      <c r="BE11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9.9945472342434485</v>
      </c>
      <c r="BF11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16.861549075458335</v>
      </c>
      <c r="BG11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23.96651632701235</v>
      </c>
      <c r="BH11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29.507710882052088</v>
      </c>
      <c r="BI11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30.595552757888107</v>
      </c>
      <c r="BJ11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31.088481107876305</v>
      </c>
      <c r="BK11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26.873093839011723</v>
      </c>
      <c r="BL11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18.867257534031005</v>
      </c>
      <c r="BM11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12.119238397985676</v>
      </c>
      <c r="BN11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5.609184672279488</v>
      </c>
      <c r="BO11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4.7423106774726573</v>
      </c>
      <c r="BP1166">
        <f>SUM(Таб[[#This Row],[1]:[12]])</f>
        <v>216.02159999999998</v>
      </c>
    </row>
    <row r="1167" spans="2:68" ht="63.75">
      <c r="B1167" s="52" t="s">
        <v>384</v>
      </c>
      <c r="C1167" t="str">
        <f>IFERROR(VLOOKUP(Таб[[#This Row],[Зелений Тариф ЕЦ]],Sheet6!$H$9:$I$29,2,FALSE),"")</f>
        <v>Дах</v>
      </c>
      <c r="E1167" s="52"/>
      <c r="F1167" s="52"/>
      <c r="G1167" s="51" t="s">
        <v>1997</v>
      </c>
      <c r="H1167" s="52" t="s">
        <v>62</v>
      </c>
      <c r="I1167" s="52"/>
      <c r="J1167" s="109">
        <v>0.5</v>
      </c>
      <c r="K1167" s="8">
        <v>43810</v>
      </c>
      <c r="L1167" s="8">
        <v>43957</v>
      </c>
      <c r="M1167" s="52">
        <v>5</v>
      </c>
      <c r="N1167" s="55" t="s">
        <v>2678</v>
      </c>
      <c r="O1167" s="52">
        <v>2020</v>
      </c>
      <c r="P1167" s="52">
        <v>0.16370000000000001</v>
      </c>
      <c r="Q1167" s="56"/>
      <c r="R1167" s="11">
        <f>ROUND(Таб[[#This Row],[Зелений Тариф ЕЦ]]+Таб[[#This Row],[Зелений Тариф ЕЦ]]*Таб[[#This Row],[% надбавки]],4)</f>
        <v>0.16370000000000001</v>
      </c>
      <c r="S1167" s="57"/>
      <c r="T1167" s="52"/>
      <c r="U1167" s="52"/>
      <c r="V1167" s="52"/>
      <c r="W1167" s="52"/>
      <c r="X1167" s="52"/>
      <c r="Y1167" s="52"/>
      <c r="Z1167" s="52"/>
      <c r="AA1167" s="52"/>
      <c r="AB1167" s="52"/>
      <c r="AC1167" s="52"/>
      <c r="AD1167" s="52"/>
      <c r="AE1167" s="52"/>
      <c r="AF1167" s="52"/>
      <c r="AG1167" s="52"/>
      <c r="AH1167" s="52"/>
      <c r="AI1167" s="52"/>
      <c r="AJ1167" s="52"/>
      <c r="AK1167" s="52"/>
      <c r="AL1167" s="52"/>
      <c r="AM1167" s="52"/>
      <c r="AN1167" s="52"/>
      <c r="AO1167" s="52"/>
      <c r="AP1167" s="52"/>
      <c r="AQ1167" s="52"/>
      <c r="AR1167" s="52"/>
      <c r="AS1167" s="52"/>
      <c r="AT1167" s="52"/>
      <c r="AU1167" s="52"/>
      <c r="AV1167" s="52"/>
      <c r="AW1167" s="52"/>
      <c r="AX1167" s="52"/>
      <c r="AY1167" s="52"/>
      <c r="AZ1167" s="52"/>
      <c r="BA1167" s="52"/>
      <c r="BB1167" s="52"/>
      <c r="BC1167" s="52"/>
      <c r="BD11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16.10043748524668</v>
      </c>
      <c r="BE11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27.762631206231802</v>
      </c>
      <c r="BF11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46.8376363207176</v>
      </c>
      <c r="BG11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66.573656463923214</v>
      </c>
      <c r="BH11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81.965863561255802</v>
      </c>
      <c r="BI11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84.987646549689202</v>
      </c>
      <c r="BJ11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86.356891966323076</v>
      </c>
      <c r="BK11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74.647482886143678</v>
      </c>
      <c r="BL11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52.40904870564168</v>
      </c>
      <c r="BM11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33.66455110551577</v>
      </c>
      <c r="BN11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15.581068534109686</v>
      </c>
      <c r="BO11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13.173085215201827</v>
      </c>
      <c r="BP1167">
        <f>SUM(Таб[[#This Row],[1]:[12]])</f>
        <v>600.06000000000006</v>
      </c>
    </row>
    <row r="1168" spans="2:68" ht="25.5">
      <c r="B1168" s="52" t="s">
        <v>384</v>
      </c>
      <c r="C1168" t="str">
        <f>IFERROR(VLOOKUP(Таб[[#This Row],[Зелений Тариф ЕЦ]],Sheet6!$H$9:$I$29,2,FALSE),"")</f>
        <v>Земля</v>
      </c>
      <c r="E1168" s="52"/>
      <c r="F1168" s="52"/>
      <c r="G1168" s="104" t="s">
        <v>3297</v>
      </c>
      <c r="H1168" t="s">
        <v>69</v>
      </c>
      <c r="I1168" s="52"/>
      <c r="J1168" s="54">
        <v>0.377</v>
      </c>
      <c r="K1168" s="8">
        <v>43818</v>
      </c>
      <c r="L1168" s="8">
        <v>43978</v>
      </c>
      <c r="M1168" s="52">
        <v>5</v>
      </c>
      <c r="N1168" s="55" t="s">
        <v>2678</v>
      </c>
      <c r="O1168" s="52">
        <v>2020</v>
      </c>
      <c r="P1168" s="52">
        <v>0.15029999999999999</v>
      </c>
      <c r="Q1168" s="56"/>
      <c r="R1168" s="11">
        <f>ROUND(Таб[[#This Row],[Зелений Тариф ЕЦ]]+Таб[[#This Row],[Зелений Тариф ЕЦ]]*Таб[[#This Row],[% надбавки]],4)</f>
        <v>0.15029999999999999</v>
      </c>
      <c r="S1168" s="57"/>
      <c r="T1168" s="52"/>
      <c r="U1168" s="52"/>
      <c r="V1168" s="52"/>
      <c r="W1168" s="52"/>
      <c r="X1168" s="52"/>
      <c r="Y1168" s="52"/>
      <c r="Z1168" s="52"/>
      <c r="AA1168" s="52"/>
      <c r="AB1168" s="52"/>
      <c r="AC1168" s="52"/>
      <c r="AD1168" s="52"/>
      <c r="AE1168" s="52"/>
      <c r="AF1168" s="52"/>
      <c r="AG1168" s="52"/>
      <c r="AH1168" s="52"/>
      <c r="AI1168" s="52"/>
      <c r="AJ1168" s="52"/>
      <c r="AK1168" s="52"/>
      <c r="AL1168" s="52"/>
      <c r="AM1168" s="52"/>
      <c r="AN1168" s="52"/>
      <c r="AO1168" s="52"/>
      <c r="AP1168" s="52"/>
      <c r="AQ1168" s="52"/>
      <c r="AR1168" s="52"/>
      <c r="AS1168" s="52"/>
      <c r="AT1168" s="52"/>
      <c r="AU1168" s="52"/>
      <c r="AV1168" s="52"/>
      <c r="AW1168" s="52"/>
      <c r="AX1168" s="52"/>
      <c r="AY1168" s="52"/>
      <c r="AZ1168" s="52"/>
      <c r="BA1168" s="52"/>
      <c r="BB1168" s="52"/>
      <c r="BC1168" s="52"/>
      <c r="BD11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12.139729863875996</v>
      </c>
      <c r="BE11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20.933023929498781</v>
      </c>
      <c r="BF11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35.31557778582107</v>
      </c>
      <c r="BG11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50.196536973798096</v>
      </c>
      <c r="BH11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61.802261125186874</v>
      </c>
      <c r="BI11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64.080685498465655</v>
      </c>
      <c r="BJ11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65.113096542607607</v>
      </c>
      <c r="BK11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56.284202096152335</v>
      </c>
      <c r="BL11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39.516422724053825</v>
      </c>
      <c r="BM11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25.383071533558898</v>
      </c>
      <c r="BN11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11.748125674718704</v>
      </c>
      <c r="BO11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9.9325062522621757</v>
      </c>
      <c r="BP1168">
        <f>SUM(Таб[[#This Row],[1]:[12]])</f>
        <v>452.44524000000001</v>
      </c>
    </row>
    <row r="1169" spans="2:68" ht="38.25">
      <c r="B1169" s="52" t="s">
        <v>384</v>
      </c>
      <c r="C1169" t="str">
        <f>IFERROR(VLOOKUP(Таб[[#This Row],[Зелений Тариф ЕЦ]],Sheet6!$H$9:$I$29,2,FALSE),"")</f>
        <v>Дах</v>
      </c>
      <c r="E1169" s="52"/>
      <c r="F1169" s="52"/>
      <c r="G1169" s="104" t="s">
        <v>3299</v>
      </c>
      <c r="H1169" s="52" t="s">
        <v>98</v>
      </c>
      <c r="I1169" s="52"/>
      <c r="J1169" s="54">
        <v>0.11899999999999999</v>
      </c>
      <c r="K1169" s="8">
        <v>43928</v>
      </c>
      <c r="L1169" s="8">
        <v>43978</v>
      </c>
      <c r="M1169" s="52">
        <v>5</v>
      </c>
      <c r="N1169" s="55" t="s">
        <v>2678</v>
      </c>
      <c r="O1169" s="52">
        <v>2020</v>
      </c>
      <c r="P1169" s="52">
        <v>0.12280000000000001</v>
      </c>
      <c r="Q1169" s="56"/>
      <c r="R1169" s="11">
        <f>ROUND(Таб[[#This Row],[Зелений Тариф ЕЦ]]+Таб[[#This Row],[Зелений Тариф ЕЦ]]*Таб[[#This Row],[% надбавки]],4)</f>
        <v>0.12280000000000001</v>
      </c>
      <c r="S1169" s="57"/>
      <c r="T1169" s="52"/>
      <c r="U1169" s="52"/>
      <c r="V1169" s="52"/>
      <c r="W1169" s="52"/>
      <c r="X1169" s="52"/>
      <c r="Y1169" s="52"/>
      <c r="Z1169" s="52"/>
      <c r="AA1169" s="52"/>
      <c r="AB1169" s="52"/>
      <c r="AC1169" s="52"/>
      <c r="AD1169" s="52"/>
      <c r="AE1169" s="52"/>
      <c r="AF1169" s="52"/>
      <c r="AG1169" s="52"/>
      <c r="AH1169" s="52"/>
      <c r="AI1169" s="52"/>
      <c r="AJ1169" s="52"/>
      <c r="AK1169" s="52"/>
      <c r="AL1169" s="52"/>
      <c r="AM1169" s="52"/>
      <c r="AN1169" s="52"/>
      <c r="AO1169" s="52"/>
      <c r="AP1169" s="52"/>
      <c r="AQ1169" s="52"/>
      <c r="AR1169" s="52"/>
      <c r="AS1169" s="52"/>
      <c r="AT1169" s="52"/>
      <c r="AU1169" s="52"/>
      <c r="AV1169" s="52"/>
      <c r="AW1169" s="52"/>
      <c r="AX1169" s="52"/>
      <c r="AY1169" s="52"/>
      <c r="AZ1169" s="52"/>
      <c r="BA1169" s="52"/>
      <c r="BB1169" s="52"/>
      <c r="BC1169" s="52"/>
      <c r="BD11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3.8319041214887095</v>
      </c>
      <c r="BE11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6.607506227083169</v>
      </c>
      <c r="BF11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11.147357444330789</v>
      </c>
      <c r="BG11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15.844530238413721</v>
      </c>
      <c r="BH11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19.507875527578879</v>
      </c>
      <c r="BI11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20.227059878826029</v>
      </c>
      <c r="BJ11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20.552940287984892</v>
      </c>
      <c r="BK11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17.766100926902194</v>
      </c>
      <c r="BL11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12.47335359194272</v>
      </c>
      <c r="BM11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8.0121631631127528</v>
      </c>
      <c r="BN11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3.7082943111181059</v>
      </c>
      <c r="BO11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3.1351942812180345</v>
      </c>
      <c r="BP1169">
        <f>SUM(Таб[[#This Row],[1]:[12]])</f>
        <v>142.81428</v>
      </c>
    </row>
    <row r="1170" spans="2:68" ht="38.25">
      <c r="B1170" s="52" t="s">
        <v>384</v>
      </c>
      <c r="C1170" t="str">
        <f>IFERROR(VLOOKUP(Таб[[#This Row],[Зелений Тариф ЕЦ]],Sheet6!$H$9:$I$29,2,FALSE),"")</f>
        <v>Земля</v>
      </c>
      <c r="E1170" s="52"/>
      <c r="F1170" s="52"/>
      <c r="G1170" s="104" t="s">
        <v>3318</v>
      </c>
      <c r="H1170" s="52" t="s">
        <v>107</v>
      </c>
      <c r="I1170" s="52"/>
      <c r="J1170" s="54">
        <v>5.3840000000000003</v>
      </c>
      <c r="K1170" s="8">
        <v>43826</v>
      </c>
      <c r="L1170" s="8">
        <v>43985</v>
      </c>
      <c r="M1170" s="52">
        <v>6</v>
      </c>
      <c r="N1170" s="55" t="s">
        <v>2678</v>
      </c>
      <c r="O1170" s="52">
        <v>2020</v>
      </c>
      <c r="P1170" s="52">
        <v>0.15029999999999999</v>
      </c>
      <c r="Q1170" s="56"/>
      <c r="R1170" s="11">
        <f>ROUND(Таб[[#This Row],[Зелений Тариф ЕЦ]]+Таб[[#This Row],[Зелений Тариф ЕЦ]]*Таб[[#This Row],[% надбавки]],4)</f>
        <v>0.15029999999999999</v>
      </c>
      <c r="S1170" s="57"/>
      <c r="T1170" s="52"/>
      <c r="U1170" s="52"/>
      <c r="V1170" s="52"/>
      <c r="W1170" s="52"/>
      <c r="X1170" s="52"/>
      <c r="Y1170" s="52"/>
      <c r="Z1170" s="52"/>
      <c r="AA1170" s="52"/>
      <c r="AB1170" s="52"/>
      <c r="AC1170" s="52"/>
      <c r="AD1170" s="52"/>
      <c r="AE1170" s="52"/>
      <c r="AF1170" s="52"/>
      <c r="AG1170" s="52"/>
      <c r="AH1170" s="52"/>
      <c r="AI1170" s="52"/>
      <c r="AJ1170" s="52"/>
      <c r="AK1170" s="52"/>
      <c r="AL1170" s="52"/>
      <c r="AM1170" s="52"/>
      <c r="AN1170" s="52"/>
      <c r="AO1170" s="52"/>
      <c r="AP1170" s="52"/>
      <c r="AQ1170" s="52"/>
      <c r="AR1170" s="52"/>
      <c r="AS1170" s="52"/>
      <c r="AT1170" s="52"/>
      <c r="AU1170" s="52"/>
      <c r="AV1170" s="52"/>
      <c r="AW1170" s="52"/>
      <c r="AX1170" s="52"/>
      <c r="AY1170" s="52"/>
      <c r="AZ1170" s="52"/>
      <c r="BA1170" s="52"/>
      <c r="BB1170" s="52"/>
      <c r="BC1170" s="52"/>
      <c r="BD11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173.36951084113625</v>
      </c>
      <c r="BE11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298.94801282870412</v>
      </c>
      <c r="BF11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504.34766790148717</v>
      </c>
      <c r="BG11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716.86513280352506</v>
      </c>
      <c r="BH11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882.60841882760246</v>
      </c>
      <c r="BI11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915.14697804705338</v>
      </c>
      <c r="BJ11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929.89101269336697</v>
      </c>
      <c r="BK11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803.80409571799521</v>
      </c>
      <c r="BL11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564.34063646234961</v>
      </c>
      <c r="BM11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362.49988630419386</v>
      </c>
      <c r="BN11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167.77694597529313</v>
      </c>
      <c r="BO11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141.84778159729325</v>
      </c>
      <c r="BP1170">
        <f>SUM(Таб[[#This Row],[1]:[12]])</f>
        <v>6461.4460800000006</v>
      </c>
    </row>
    <row r="1171" spans="2:68" ht="51">
      <c r="B1171" s="52" t="s">
        <v>384</v>
      </c>
      <c r="C1171" t="str">
        <f>IFERROR(VLOOKUP(Таб[[#This Row],[Зелений Тариф ЕЦ]],Sheet6!$H$9:$I$29,2,FALSE),"")</f>
        <v>Земля</v>
      </c>
      <c r="E1171" s="52"/>
      <c r="F1171" s="52"/>
      <c r="G1171" s="104" t="s">
        <v>3319</v>
      </c>
      <c r="H1171" s="52" t="s">
        <v>101</v>
      </c>
      <c r="I1171" s="52"/>
      <c r="J1171" s="54">
        <v>5.7320000000000002</v>
      </c>
      <c r="K1171" s="8">
        <v>43976</v>
      </c>
      <c r="L1171" s="8">
        <v>43985</v>
      </c>
      <c r="M1171" s="52">
        <v>6</v>
      </c>
      <c r="N1171" s="55" t="s">
        <v>2678</v>
      </c>
      <c r="O1171" s="52">
        <v>2020</v>
      </c>
      <c r="P1171" s="52">
        <v>0.11260000000000001</v>
      </c>
      <c r="Q1171" s="56"/>
      <c r="R1171" s="11">
        <f>ROUND(Таб[[#This Row],[Зелений Тариф ЕЦ]]+Таб[[#This Row],[Зелений Тариф ЕЦ]]*Таб[[#This Row],[% надбавки]],4)</f>
        <v>0.11260000000000001</v>
      </c>
      <c r="S1171" s="57"/>
      <c r="T1171" s="52"/>
      <c r="U1171" s="52"/>
      <c r="V1171" s="52"/>
      <c r="W1171" s="52"/>
      <c r="X1171" s="52"/>
      <c r="Y1171" s="52"/>
      <c r="Z1171" s="52"/>
      <c r="AA1171" s="52"/>
      <c r="AB1171" s="52"/>
      <c r="AC1171" s="52"/>
      <c r="AD1171" s="52"/>
      <c r="AE1171" s="52"/>
      <c r="AF1171" s="52"/>
      <c r="AG1171" s="52"/>
      <c r="AH1171" s="52"/>
      <c r="AI1171" s="52"/>
      <c r="AJ1171" s="52"/>
      <c r="AK1171" s="52"/>
      <c r="AL1171" s="52"/>
      <c r="AM1171" s="52"/>
      <c r="AN1171" s="52"/>
      <c r="AO1171" s="52"/>
      <c r="AP1171" s="52"/>
      <c r="AQ1171" s="52"/>
      <c r="AR1171" s="52"/>
      <c r="AS1171" s="52"/>
      <c r="AT1171" s="52"/>
      <c r="AU1171" s="52"/>
      <c r="AV1171" s="52"/>
      <c r="AW1171" s="52"/>
      <c r="AX1171" s="52"/>
      <c r="AY1171" s="52"/>
      <c r="AZ1171" s="52"/>
      <c r="BA1171" s="52"/>
      <c r="BB1171" s="52"/>
      <c r="BC1171" s="52"/>
      <c r="BD11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184.57541533086791</v>
      </c>
      <c r="BE11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318.27080414824144</v>
      </c>
      <c r="BF11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536.94666278070667</v>
      </c>
      <c r="BG11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763.20039770241567</v>
      </c>
      <c r="BH11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939.65665986623662</v>
      </c>
      <c r="BI11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974.29838004563692</v>
      </c>
      <c r="BJ11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989.99540950192772</v>
      </c>
      <c r="BK11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855.75874380675123</v>
      </c>
      <c r="BL11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600.81733436147624</v>
      </c>
      <c r="BM11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385.9304138736328</v>
      </c>
      <c r="BN11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178.62136967503346</v>
      </c>
      <c r="BO11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151.01624890707373</v>
      </c>
      <c r="BP1171">
        <f>SUM(Таб[[#This Row],[1]:[12]])</f>
        <v>6879.0878400000001</v>
      </c>
    </row>
    <row r="1172" spans="2:68" ht="25.5">
      <c r="B1172" s="52" t="s">
        <v>384</v>
      </c>
      <c r="C1172" t="str">
        <f>IFERROR(VLOOKUP(Таб[[#This Row],[Зелений Тариф ЕЦ]],Sheet6!$H$9:$I$29,2,FALSE),"")</f>
        <v>Дах</v>
      </c>
      <c r="E1172" s="52"/>
      <c r="F1172" s="52"/>
      <c r="G1172" s="104" t="s">
        <v>3320</v>
      </c>
      <c r="H1172" s="52" t="s">
        <v>172</v>
      </c>
      <c r="I1172" s="52"/>
      <c r="J1172" s="54">
        <v>1.0269999999999999</v>
      </c>
      <c r="K1172" s="8">
        <v>43826</v>
      </c>
      <c r="L1172" s="8">
        <v>43985</v>
      </c>
      <c r="M1172" s="52">
        <v>6</v>
      </c>
      <c r="N1172" s="55" t="s">
        <v>2678</v>
      </c>
      <c r="O1172" s="52">
        <v>2020</v>
      </c>
      <c r="P1172" s="52">
        <v>0.16370000000000001</v>
      </c>
      <c r="Q1172" s="56"/>
      <c r="R1172" s="11">
        <f>ROUND(Таб[[#This Row],[Зелений Тариф ЕЦ]]+Таб[[#This Row],[Зелений Тариф ЕЦ]]*Таб[[#This Row],[% надбавки]],4)</f>
        <v>0.16370000000000001</v>
      </c>
      <c r="S1172" s="57"/>
      <c r="T1172" s="52"/>
      <c r="U1172" s="52"/>
      <c r="V1172" s="52"/>
      <c r="W1172" s="52"/>
      <c r="X1172" s="52"/>
      <c r="Y1172" s="52"/>
      <c r="Z1172" s="52"/>
      <c r="AA1172" s="52"/>
      <c r="AB1172" s="52"/>
      <c r="AC1172" s="52"/>
      <c r="AD1172" s="52"/>
      <c r="AE1172" s="52"/>
      <c r="AF1172" s="52"/>
      <c r="AG1172" s="52"/>
      <c r="AH1172" s="52"/>
      <c r="AI1172" s="52"/>
      <c r="AJ1172" s="52"/>
      <c r="AK1172" s="52"/>
      <c r="AL1172" s="52"/>
      <c r="AM1172" s="52"/>
      <c r="AN1172" s="52"/>
      <c r="AO1172" s="52"/>
      <c r="AP1172" s="52"/>
      <c r="AQ1172" s="52"/>
      <c r="AR1172" s="52"/>
      <c r="AS1172" s="52"/>
      <c r="AT1172" s="52"/>
      <c r="AU1172" s="52"/>
      <c r="AV1172" s="52"/>
      <c r="AW1172" s="52"/>
      <c r="AX1172" s="52"/>
      <c r="AY1172" s="52"/>
      <c r="AZ1172" s="52"/>
      <c r="BA1172" s="52"/>
      <c r="BB1172" s="52"/>
      <c r="BC1172" s="52"/>
      <c r="BD11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33.070298594696673</v>
      </c>
      <c r="BE11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57.024444497600122</v>
      </c>
      <c r="BF11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96.204505002753962</v>
      </c>
      <c r="BG11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136.74229037689824</v>
      </c>
      <c r="BH11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168.3578837548194</v>
      </c>
      <c r="BI11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174.5646260130616</v>
      </c>
      <c r="BJ11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177.37705609882758</v>
      </c>
      <c r="BK11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153.32592984813908</v>
      </c>
      <c r="BL11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107.64818604138802</v>
      </c>
      <c r="BM11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69.146987970729398</v>
      </c>
      <c r="BN11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32.003514769061297</v>
      </c>
      <c r="BO11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27.057517032024549</v>
      </c>
      <c r="BP1172">
        <f>SUM(Таб[[#This Row],[1]:[12]])</f>
        <v>1232.52324</v>
      </c>
    </row>
    <row r="1173" spans="2:68" ht="38.25">
      <c r="B1173" s="52" t="s">
        <v>384</v>
      </c>
      <c r="C1173" t="str">
        <f>IFERROR(VLOOKUP(Таб[[#This Row],[Зелений Тариф ЕЦ]],Sheet6!$H$9:$I$29,2,FALSE),"")</f>
        <v>Дах</v>
      </c>
      <c r="E1173" s="52"/>
      <c r="F1173" s="52"/>
      <c r="G1173" s="104" t="s">
        <v>3321</v>
      </c>
      <c r="H1173" s="52" t="s">
        <v>62</v>
      </c>
      <c r="I1173" s="52"/>
      <c r="J1173" s="54">
        <v>7.8E-2</v>
      </c>
      <c r="K1173" s="8">
        <v>43951</v>
      </c>
      <c r="L1173" s="8">
        <v>43985</v>
      </c>
      <c r="M1173" s="52">
        <v>6</v>
      </c>
      <c r="N1173" s="55" t="s">
        <v>2678</v>
      </c>
      <c r="O1173" s="52">
        <v>2020</v>
      </c>
      <c r="P1173" s="52">
        <v>0.12280000000000001</v>
      </c>
      <c r="Q1173" s="56"/>
      <c r="R1173" s="11">
        <f>ROUND(Таб[[#This Row],[Зелений Тариф ЕЦ]]+Таб[[#This Row],[Зелений Тариф ЕЦ]]*Таб[[#This Row],[% надбавки]],4)</f>
        <v>0.12280000000000001</v>
      </c>
      <c r="S1173" s="57"/>
      <c r="T1173" s="52"/>
      <c r="U1173" s="52"/>
      <c r="V1173" s="52"/>
      <c r="W1173" s="52"/>
      <c r="X1173" s="52"/>
      <c r="Y1173" s="52"/>
      <c r="Z1173" s="52"/>
      <c r="AA1173" s="52"/>
      <c r="AB1173" s="52"/>
      <c r="AC1173" s="52"/>
      <c r="AD1173" s="52"/>
      <c r="AE1173" s="52"/>
      <c r="AF1173" s="52"/>
      <c r="AG1173" s="52"/>
      <c r="AH1173" s="52"/>
      <c r="AI1173" s="52"/>
      <c r="AJ1173" s="52"/>
      <c r="AK1173" s="52"/>
      <c r="AL1173" s="52"/>
      <c r="AM1173" s="52"/>
      <c r="AN1173" s="52"/>
      <c r="AO1173" s="52"/>
      <c r="AP1173" s="52"/>
      <c r="AQ1173" s="52"/>
      <c r="AR1173" s="52"/>
      <c r="AS1173" s="52"/>
      <c r="AT1173" s="52"/>
      <c r="AU1173" s="52"/>
      <c r="AV1173" s="52"/>
      <c r="AW1173" s="52"/>
      <c r="AX1173" s="52"/>
      <c r="AY1173" s="52"/>
      <c r="AZ1173" s="52"/>
      <c r="BA1173" s="52"/>
      <c r="BB1173" s="52"/>
      <c r="BC1173" s="52"/>
      <c r="BD11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2.5116682476984815</v>
      </c>
      <c r="BE11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4.3309704681721612</v>
      </c>
      <c r="BF11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7.3066712660319446</v>
      </c>
      <c r="BG11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10.38549040837202</v>
      </c>
      <c r="BH11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12.786674715555904</v>
      </c>
      <c r="BI11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13.258072861751515</v>
      </c>
      <c r="BJ11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13.471675146746399</v>
      </c>
      <c r="BK11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11.645007330238416</v>
      </c>
      <c r="BL11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8.1758115980801023</v>
      </c>
      <c r="BM11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5.2516699724604603</v>
      </c>
      <c r="BN11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2.4306466913211118</v>
      </c>
      <c r="BO11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2.0550012935714852</v>
      </c>
      <c r="BP1173">
        <f>SUM(Таб[[#This Row],[1]:[12]])</f>
        <v>93.609359999999995</v>
      </c>
    </row>
    <row r="1174" spans="2:68" ht="25.5">
      <c r="B1174" s="52" t="s">
        <v>384</v>
      </c>
      <c r="C1174" t="str">
        <f>IFERROR(VLOOKUP(Таб[[#This Row],[Зелений Тариф ЕЦ]],Sheet6!$H$9:$I$29,2,FALSE),"")</f>
        <v>Земля</v>
      </c>
      <c r="D1174" t="s">
        <v>3446</v>
      </c>
      <c r="E1174" s="52"/>
      <c r="F1174" s="52" t="s">
        <v>3287</v>
      </c>
      <c r="G1174" s="104" t="s">
        <v>3322</v>
      </c>
      <c r="H1174" s="52" t="s">
        <v>101</v>
      </c>
      <c r="I1174" s="52"/>
      <c r="J1174" s="54">
        <v>13.919</v>
      </c>
      <c r="K1174" s="8">
        <v>43965</v>
      </c>
      <c r="L1174" s="8">
        <v>43992</v>
      </c>
      <c r="M1174" s="52">
        <v>6</v>
      </c>
      <c r="N1174" s="55" t="s">
        <v>2678</v>
      </c>
      <c r="O1174" s="52">
        <v>2020</v>
      </c>
      <c r="P1174" s="52">
        <v>0.11260000000000001</v>
      </c>
      <c r="Q1174" s="56"/>
      <c r="R1174" s="11">
        <f>ROUND(Таб[[#This Row],[Зелений Тариф ЕЦ]]+Таб[[#This Row],[Зелений Тариф ЕЦ]]*Таб[[#This Row],[% надбавки]],4)</f>
        <v>0.11260000000000001</v>
      </c>
      <c r="S1174" s="57"/>
      <c r="T1174" s="52"/>
      <c r="U1174" s="52"/>
      <c r="V1174" s="52"/>
      <c r="W1174" s="52"/>
      <c r="X1174" s="52"/>
      <c r="Y1174" s="52"/>
      <c r="Z1174" s="52"/>
      <c r="AA1174" s="52"/>
      <c r="AB1174" s="52"/>
      <c r="AC1174" s="52"/>
      <c r="AD1174" s="52"/>
      <c r="AE1174" s="52"/>
      <c r="AF1174" s="52"/>
      <c r="AG1174" s="52"/>
      <c r="AH1174" s="52"/>
      <c r="AI1174" s="52"/>
      <c r="AJ1174" s="52"/>
      <c r="AK1174" s="52"/>
      <c r="AL1174" s="52"/>
      <c r="AM1174" s="52"/>
      <c r="AN1174" s="52"/>
      <c r="AO1174" s="52"/>
      <c r="AP1174" s="52"/>
      <c r="AQ1174" s="52"/>
      <c r="AR1174" s="52"/>
      <c r="AS1174" s="52"/>
      <c r="AT1174" s="52"/>
      <c r="AU1174" s="52"/>
      <c r="AV1174" s="52"/>
      <c r="AW1174" s="52"/>
      <c r="AX1174" s="52"/>
      <c r="AY1174" s="52"/>
      <c r="AZ1174" s="52"/>
      <c r="BA1174" s="52"/>
      <c r="BB1174" s="52"/>
      <c r="BC1174" s="52"/>
      <c r="BD11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448.20397871429702</v>
      </c>
      <c r="BE11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772.85612751908104</v>
      </c>
      <c r="BF11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1303.8661198961365</v>
      </c>
      <c r="BG11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1853.2774486426943</v>
      </c>
      <c r="BH11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2281.7657098182394</v>
      </c>
      <c r="BI11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2365.8861046502479</v>
      </c>
      <c r="BJ11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2404.003158558502</v>
      </c>
      <c r="BK11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2078.036628584468</v>
      </c>
      <c r="BL11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1458.9630978676532</v>
      </c>
      <c r="BM11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937.15377367534825</v>
      </c>
      <c r="BN11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433.74578585254551</v>
      </c>
      <c r="BO11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366.71234622078839</v>
      </c>
      <c r="BP1174">
        <f>SUM(Таб[[#This Row],[1]:[12]])</f>
        <v>16704.470280000001</v>
      </c>
    </row>
    <row r="1175" spans="2:68" ht="38.25">
      <c r="B1175" s="52" t="s">
        <v>384</v>
      </c>
      <c r="C1175" t="str">
        <f>IFERROR(VLOOKUP(Таб[[#This Row],[Зелений Тариф ЕЦ]],Sheet6!$H$9:$I$29,2,FALSE),"")</f>
        <v>Земля</v>
      </c>
      <c r="E1175" s="52"/>
      <c r="F1175" s="52"/>
      <c r="G1175" s="104" t="s">
        <v>3323</v>
      </c>
      <c r="H1175" s="52" t="s">
        <v>62</v>
      </c>
      <c r="I1175" s="52"/>
      <c r="J1175" s="54">
        <v>0.53100000000000003</v>
      </c>
      <c r="K1175" s="8">
        <v>43787</v>
      </c>
      <c r="L1175" s="8">
        <v>43992</v>
      </c>
      <c r="M1175" s="52">
        <v>6</v>
      </c>
      <c r="N1175" s="55" t="s">
        <v>2678</v>
      </c>
      <c r="O1175" s="52">
        <v>2020</v>
      </c>
      <c r="P1175" s="52">
        <v>0.15029999999999999</v>
      </c>
      <c r="Q1175" s="56"/>
      <c r="R1175" s="11">
        <f>ROUND(Таб[[#This Row],[Зелений Тариф ЕЦ]]+Таб[[#This Row],[Зелений Тариф ЕЦ]]*Таб[[#This Row],[% надбавки]],4)</f>
        <v>0.15029999999999999</v>
      </c>
      <c r="S1175" s="57"/>
      <c r="T1175" s="52"/>
      <c r="U1175" s="52"/>
      <c r="V1175" s="52"/>
      <c r="W1175" s="52"/>
      <c r="X1175" s="52"/>
      <c r="Y1175" s="52"/>
      <c r="Z1175" s="52"/>
      <c r="AA1175" s="52"/>
      <c r="AB1175" s="52"/>
      <c r="AC1175" s="52"/>
      <c r="AD1175" s="52"/>
      <c r="AE1175" s="52"/>
      <c r="AF1175" s="52"/>
      <c r="AG1175" s="52"/>
      <c r="AH1175" s="52"/>
      <c r="AI1175" s="52"/>
      <c r="AJ1175" s="52"/>
      <c r="AK1175" s="52"/>
      <c r="AL1175" s="52"/>
      <c r="AM1175" s="52"/>
      <c r="AN1175" s="52"/>
      <c r="AO1175" s="52"/>
      <c r="AP1175" s="52"/>
      <c r="AQ1175" s="52"/>
      <c r="AR1175" s="52"/>
      <c r="AS1175" s="52"/>
      <c r="AT1175" s="52"/>
      <c r="AU1175" s="52"/>
      <c r="AV1175" s="52"/>
      <c r="AW1175" s="52"/>
      <c r="AX1175" s="52"/>
      <c r="AY1175" s="52"/>
      <c r="AZ1175" s="52"/>
      <c r="BA1175" s="52"/>
      <c r="BB1175" s="52"/>
      <c r="BC1175" s="52"/>
      <c r="BD11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17.098664609331973</v>
      </c>
      <c r="BE11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29.483914341018181</v>
      </c>
      <c r="BF11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49.741569772602098</v>
      </c>
      <c r="BG11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70.701223164686439</v>
      </c>
      <c r="BH11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87.047747102053663</v>
      </c>
      <c r="BI11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90.256880635769917</v>
      </c>
      <c r="BJ11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91.71101926823512</v>
      </c>
      <c r="BK11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79.275626825084601</v>
      </c>
      <c r="BL11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55.658409725391465</v>
      </c>
      <c r="BM11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35.751753274057755</v>
      </c>
      <c r="BN11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16.547094783224487</v>
      </c>
      <c r="BO11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13.989816498544339</v>
      </c>
      <c r="BP1175">
        <f>SUM(Таб[[#This Row],[1]:[12]])</f>
        <v>637.26371999999992</v>
      </c>
    </row>
    <row r="1176" spans="2:68" ht="38.25">
      <c r="B1176" s="52" t="s">
        <v>384</v>
      </c>
      <c r="C1176" t="str">
        <f>IFERROR(VLOOKUP(Таб[[#This Row],[Зелений Тариф ЕЦ]],Sheet6!$H$9:$I$29,2,FALSE),"")</f>
        <v>Дах</v>
      </c>
      <c r="E1176" s="52"/>
      <c r="F1176" s="52"/>
      <c r="G1176" s="104" t="s">
        <v>3324</v>
      </c>
      <c r="H1176" s="52" t="s">
        <v>107</v>
      </c>
      <c r="I1176" s="52"/>
      <c r="J1176" s="54">
        <v>0.48099999999999998</v>
      </c>
      <c r="K1176" s="8">
        <v>43798</v>
      </c>
      <c r="L1176" s="8">
        <v>43992</v>
      </c>
      <c r="M1176" s="52">
        <v>6</v>
      </c>
      <c r="N1176" s="55" t="s">
        <v>2678</v>
      </c>
      <c r="O1176" s="52">
        <v>2020</v>
      </c>
      <c r="P1176">
        <v>0.16370000000000001</v>
      </c>
      <c r="Q1176" s="56"/>
      <c r="R1176" s="11">
        <f>ROUND(Таб[[#This Row],[Зелений Тариф ЕЦ]]+Таб[[#This Row],[Зелений Тариф ЕЦ]]*Таб[[#This Row],[% надбавки]],4)</f>
        <v>0.16370000000000001</v>
      </c>
      <c r="S1176" s="57"/>
      <c r="T1176" s="52"/>
      <c r="U1176" s="52"/>
      <c r="V1176" s="52"/>
      <c r="W1176" s="52"/>
      <c r="X1176" s="52"/>
      <c r="Y1176" s="52"/>
      <c r="Z1176" s="52"/>
      <c r="AA1176" s="52"/>
      <c r="AB1176" s="52"/>
      <c r="AC1176" s="52"/>
      <c r="AD1176" s="52"/>
      <c r="AE1176" s="52"/>
      <c r="AF1176" s="52"/>
      <c r="AG1176" s="52"/>
      <c r="AH1176" s="52"/>
      <c r="AI1176" s="52"/>
      <c r="AJ1176" s="52"/>
      <c r="AK1176" s="52"/>
      <c r="AL1176" s="52"/>
      <c r="AM1176" s="52"/>
      <c r="AN1176" s="52"/>
      <c r="AO1176" s="52"/>
      <c r="AP1176" s="52"/>
      <c r="AQ1176" s="52"/>
      <c r="AR1176" s="52"/>
      <c r="AS1176" s="52"/>
      <c r="AT1176" s="52"/>
      <c r="AU1176" s="52"/>
      <c r="AV1176" s="52"/>
      <c r="AW1176" s="52"/>
      <c r="AX1176" s="52"/>
      <c r="AY1176" s="52"/>
      <c r="AZ1176" s="52"/>
      <c r="BA1176" s="52"/>
      <c r="BB1176" s="52"/>
      <c r="BC1176" s="52"/>
      <c r="BD11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15.488620860807304</v>
      </c>
      <c r="BE11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26.707651220394993</v>
      </c>
      <c r="BF11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45.057806140530332</v>
      </c>
      <c r="BG11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64.043857518294118</v>
      </c>
      <c r="BH11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78.85116074592807</v>
      </c>
      <c r="BI11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81.758115980801009</v>
      </c>
      <c r="BJ11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83.075330071602792</v>
      </c>
      <c r="BK11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71.810878536470227</v>
      </c>
      <c r="BL11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50.417504854827285</v>
      </c>
      <c r="BM11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32.385298163506171</v>
      </c>
      <c r="BN11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14.98898792981352</v>
      </c>
      <c r="BO11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12.672507977024157</v>
      </c>
      <c r="BP1176">
        <f>SUM(Таб[[#This Row],[1]:[12]])</f>
        <v>577.25771999999995</v>
      </c>
    </row>
    <row r="1177" spans="2:68" ht="38.25">
      <c r="B1177" s="52" t="s">
        <v>384</v>
      </c>
      <c r="C1177" t="str">
        <f>IFERROR(VLOOKUP(Таб[[#This Row],[Зелений Тариф ЕЦ]],Sheet6!$H$9:$I$29,2,FALSE),"")</f>
        <v>Дах</v>
      </c>
      <c r="E1177" s="52"/>
      <c r="F1177" s="52"/>
      <c r="G1177" s="104" t="s">
        <v>3325</v>
      </c>
      <c r="H1177" s="52" t="s">
        <v>107</v>
      </c>
      <c r="I1177" s="52"/>
      <c r="J1177" s="54">
        <v>0.19</v>
      </c>
      <c r="K1177" s="8">
        <v>43782</v>
      </c>
      <c r="L1177" s="8">
        <v>43992</v>
      </c>
      <c r="M1177" s="52">
        <v>6</v>
      </c>
      <c r="N1177" s="55" t="s">
        <v>2678</v>
      </c>
      <c r="O1177" s="52">
        <v>2020</v>
      </c>
      <c r="P1177">
        <v>0.16370000000000001</v>
      </c>
      <c r="Q1177" s="56"/>
      <c r="R1177" s="11">
        <f>ROUND(Таб[[#This Row],[Зелений Тариф ЕЦ]]+Таб[[#This Row],[Зелений Тариф ЕЦ]]*Таб[[#This Row],[% надбавки]],4)</f>
        <v>0.16370000000000001</v>
      </c>
      <c r="S1177" s="57"/>
      <c r="T1177" s="52"/>
      <c r="U1177" s="52"/>
      <c r="V1177" s="52"/>
      <c r="W1177" s="52"/>
      <c r="X1177" s="52"/>
      <c r="Y1177" s="52"/>
      <c r="Z1177" s="52"/>
      <c r="AA1177" s="52"/>
      <c r="AB1177" s="52"/>
      <c r="AC1177" s="52"/>
      <c r="AD1177" s="52"/>
      <c r="AE1177" s="52"/>
      <c r="AF1177" s="52"/>
      <c r="AG1177" s="52"/>
      <c r="AH1177" s="52"/>
      <c r="AI1177" s="52"/>
      <c r="AJ1177" s="52"/>
      <c r="AK1177" s="52"/>
      <c r="AL1177" s="52"/>
      <c r="AM1177" s="52"/>
      <c r="AN1177" s="52"/>
      <c r="AO1177" s="52"/>
      <c r="AP1177" s="52"/>
      <c r="AQ1177" s="52"/>
      <c r="AR1177" s="52"/>
      <c r="AS1177" s="52"/>
      <c r="AT1177" s="52"/>
      <c r="AU1177" s="52"/>
      <c r="AV1177" s="52"/>
      <c r="AW1177" s="52"/>
      <c r="AX1177" s="52"/>
      <c r="AY1177" s="52"/>
      <c r="AZ1177" s="52"/>
      <c r="BA1177" s="52"/>
      <c r="BB1177" s="52"/>
      <c r="BC1177" s="52"/>
      <c r="BD11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6.1181662443937377</v>
      </c>
      <c r="BE11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10.549799858368086</v>
      </c>
      <c r="BF11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17.798301801872686</v>
      </c>
      <c r="BG11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25.297989456290818</v>
      </c>
      <c r="BH11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31.147028153277205</v>
      </c>
      <c r="BI11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32.295305688881896</v>
      </c>
      <c r="BJ11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32.815618947202772</v>
      </c>
      <c r="BK11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28.366043496734598</v>
      </c>
      <c r="BL11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19.915438508143836</v>
      </c>
      <c r="BM11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12.792529420095995</v>
      </c>
      <c r="BN11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5.920806042961682</v>
      </c>
      <c r="BO11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5.0057723817766941</v>
      </c>
      <c r="BP1177">
        <f>SUM(Таб[[#This Row],[1]:[12]])</f>
        <v>228.02280000000002</v>
      </c>
    </row>
    <row r="1178" spans="2:68" ht="38.25">
      <c r="B1178" s="52" t="s">
        <v>384</v>
      </c>
      <c r="C1178" t="str">
        <f>IFERROR(VLOOKUP(Таб[[#This Row],[Зелений Тариф ЕЦ]],Sheet6!$H$9:$I$29,2,FALSE),"")</f>
        <v>Дах</v>
      </c>
      <c r="E1178" s="52"/>
      <c r="F1178" s="52"/>
      <c r="G1178" s="104" t="s">
        <v>3326</v>
      </c>
      <c r="H1178" s="52" t="s">
        <v>122</v>
      </c>
      <c r="I1178" s="52"/>
      <c r="J1178" s="54">
        <v>0.60799999999999998</v>
      </c>
      <c r="K1178" s="8">
        <v>43790</v>
      </c>
      <c r="L1178" s="8">
        <v>43992</v>
      </c>
      <c r="M1178" s="52">
        <v>6</v>
      </c>
      <c r="N1178" s="55" t="s">
        <v>2678</v>
      </c>
      <c r="O1178" s="52">
        <v>2020</v>
      </c>
      <c r="P1178">
        <v>0.16370000000000001</v>
      </c>
      <c r="Q1178" s="56"/>
      <c r="R1178" s="11">
        <f>ROUND(Таб[[#This Row],[Зелений Тариф ЕЦ]]+Таб[[#This Row],[Зелений Тариф ЕЦ]]*Таб[[#This Row],[% надбавки]],4)</f>
        <v>0.16370000000000001</v>
      </c>
      <c r="S1178" s="57"/>
      <c r="T1178" s="52"/>
      <c r="U1178" s="52"/>
      <c r="V1178" s="52"/>
      <c r="W1178" s="52"/>
      <c r="X1178" s="52"/>
      <c r="Y1178" s="52"/>
      <c r="Z1178" s="52"/>
      <c r="AA1178" s="52"/>
      <c r="AB1178" s="52"/>
      <c r="AC1178" s="52"/>
      <c r="AD1178" s="52"/>
      <c r="AE1178" s="52"/>
      <c r="AF1178" s="52"/>
      <c r="AG1178" s="52"/>
      <c r="AH1178" s="52"/>
      <c r="AI1178" s="52"/>
      <c r="AJ1178" s="52"/>
      <c r="AK1178" s="52"/>
      <c r="AL1178" s="52"/>
      <c r="AM1178" s="52"/>
      <c r="AN1178" s="52"/>
      <c r="AO1178" s="52"/>
      <c r="AP1178" s="52"/>
      <c r="AQ1178" s="52"/>
      <c r="AR1178" s="52"/>
      <c r="AS1178" s="52"/>
      <c r="AT1178" s="52"/>
      <c r="AU1178" s="52"/>
      <c r="AV1178" s="52"/>
      <c r="AW1178" s="52"/>
      <c r="AX1178" s="52"/>
      <c r="AY1178" s="52"/>
      <c r="AZ1178" s="52"/>
      <c r="BA1178" s="52"/>
      <c r="BB1178" s="52"/>
      <c r="BC1178" s="52"/>
      <c r="BD11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19.578131982059958</v>
      </c>
      <c r="BE11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33.759359546777873</v>
      </c>
      <c r="BF11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56.954565765992598</v>
      </c>
      <c r="BG11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80.953566260130614</v>
      </c>
      <c r="BH11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99.67049009048705</v>
      </c>
      <c r="BI11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103.34497820442206</v>
      </c>
      <c r="BJ11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105.00998063104885</v>
      </c>
      <c r="BK11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90.771339189550716</v>
      </c>
      <c r="BL11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63.729403226060285</v>
      </c>
      <c r="BM11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40.936094144307177</v>
      </c>
      <c r="BN11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18.946579337477381</v>
      </c>
      <c r="BO11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16.018471621685421</v>
      </c>
      <c r="BP1178">
        <f>SUM(Таб[[#This Row],[1]:[12]])</f>
        <v>729.67295999999999</v>
      </c>
    </row>
    <row r="1179" spans="2:68">
      <c r="B1179" s="52" t="s">
        <v>384</v>
      </c>
      <c r="C1179" t="str">
        <f>IFERROR(VLOOKUP(Таб[[#This Row],[Зелений Тариф ЕЦ]],Sheet6!$H$9:$I$29,2,FALSE),"")</f>
        <v>Дах</v>
      </c>
      <c r="E1179" s="52"/>
      <c r="F1179" s="52"/>
      <c r="G1179" t="s">
        <v>1852</v>
      </c>
      <c r="H1179" s="52" t="s">
        <v>98</v>
      </c>
      <c r="I1179" s="52"/>
      <c r="J1179" s="54">
        <v>0.55100000000000005</v>
      </c>
      <c r="K1179" s="8">
        <v>43810</v>
      </c>
      <c r="L1179" s="8">
        <v>43992</v>
      </c>
      <c r="M1179" s="52">
        <v>6</v>
      </c>
      <c r="N1179" s="55" t="s">
        <v>2678</v>
      </c>
      <c r="O1179" s="52">
        <v>2020</v>
      </c>
      <c r="P1179">
        <v>0.16370000000000001</v>
      </c>
      <c r="Q1179" s="56"/>
      <c r="R1179" s="11">
        <f>ROUND(Таб[[#This Row],[Зелений Тариф ЕЦ]]+Таб[[#This Row],[Зелений Тариф ЕЦ]]*Таб[[#This Row],[% надбавки]],4)</f>
        <v>0.16370000000000001</v>
      </c>
      <c r="S1179" s="57"/>
      <c r="T1179" s="52"/>
      <c r="U1179" s="52"/>
      <c r="V1179" s="52"/>
      <c r="W1179" s="52"/>
      <c r="X1179" s="52"/>
      <c r="Y1179" s="52"/>
      <c r="Z1179" s="52"/>
      <c r="AA1179" s="52"/>
      <c r="AB1179" s="52"/>
      <c r="AC1179" s="52"/>
      <c r="AD1179" s="52"/>
      <c r="AE1179" s="52"/>
      <c r="AF1179" s="52"/>
      <c r="AG1179" s="52"/>
      <c r="AH1179" s="52"/>
      <c r="AI1179" s="52"/>
      <c r="AJ1179" s="52"/>
      <c r="AK1179" s="52"/>
      <c r="AL1179" s="52"/>
      <c r="AM1179" s="52"/>
      <c r="AN1179" s="52"/>
      <c r="AO1179" s="52"/>
      <c r="AP1179" s="52"/>
      <c r="AQ1179" s="52"/>
      <c r="AR1179" s="52"/>
      <c r="AS1179" s="52"/>
      <c r="AT1179" s="52"/>
      <c r="AU1179" s="52"/>
      <c r="AV1179" s="52"/>
      <c r="AW1179" s="52"/>
      <c r="AX1179" s="52"/>
      <c r="AY1179" s="52"/>
      <c r="AZ1179" s="52"/>
      <c r="BA1179" s="52"/>
      <c r="BB1179" s="52"/>
      <c r="BC1179" s="52"/>
      <c r="BD11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17.742682108741839</v>
      </c>
      <c r="BE11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30.594419589267449</v>
      </c>
      <c r="BF11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51.6150752254308</v>
      </c>
      <c r="BG11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73.364169423243368</v>
      </c>
      <c r="BH11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90.326381644503897</v>
      </c>
      <c r="BI11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93.656386497757509</v>
      </c>
      <c r="BJ11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95.165294946888039</v>
      </c>
      <c r="BK11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82.261526140530336</v>
      </c>
      <c r="BL11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57.754771673617142</v>
      </c>
      <c r="BM11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37.098335318278387</v>
      </c>
      <c r="BN11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17.170337524588877</v>
      </c>
      <c r="BO11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14.516739907152411</v>
      </c>
      <c r="BP1179">
        <f>SUM(Таб[[#This Row],[1]:[12]])</f>
        <v>661.26612</v>
      </c>
    </row>
    <row r="1180" spans="2:68">
      <c r="B1180" s="52" t="s">
        <v>384</v>
      </c>
      <c r="C1180" t="str">
        <f>IFERROR(VLOOKUP(Таб[[#This Row],[Зелений Тариф ЕЦ]],Sheet6!$H$9:$I$29,2,FALSE),"")</f>
        <v>Дах</v>
      </c>
      <c r="E1180" s="52"/>
      <c r="F1180" s="52"/>
      <c r="G1180" t="s">
        <v>1859</v>
      </c>
      <c r="H1180" t="s">
        <v>65</v>
      </c>
      <c r="I1180" s="52"/>
      <c r="J1180" s="54">
        <v>1.19</v>
      </c>
      <c r="K1180" s="8">
        <v>43810</v>
      </c>
      <c r="L1180" s="8">
        <v>43992</v>
      </c>
      <c r="M1180" s="52">
        <v>6</v>
      </c>
      <c r="N1180" s="55" t="s">
        <v>2678</v>
      </c>
      <c r="O1180" s="52">
        <v>2020</v>
      </c>
      <c r="P1180">
        <v>0.16370000000000001</v>
      </c>
      <c r="Q1180" s="56"/>
      <c r="R1180" s="11">
        <f>ROUND(Таб[[#This Row],[Зелений Тариф ЕЦ]]+Таб[[#This Row],[Зелений Тариф ЕЦ]]*Таб[[#This Row],[% надбавки]],4)</f>
        <v>0.16370000000000001</v>
      </c>
      <c r="S1180" s="57"/>
      <c r="T1180" s="52"/>
      <c r="U1180" s="52"/>
      <c r="V1180" s="52"/>
      <c r="W1180" s="52"/>
      <c r="X1180" s="52"/>
      <c r="Y1180" s="52"/>
      <c r="Z1180" s="52"/>
      <c r="AA1180" s="52"/>
      <c r="AB1180" s="52"/>
      <c r="AC1180" s="52"/>
      <c r="AD1180" s="52"/>
      <c r="AE1180" s="52"/>
      <c r="AF1180" s="52"/>
      <c r="AG1180" s="52"/>
      <c r="AH1180" s="52"/>
      <c r="AI1180" s="52"/>
      <c r="AJ1180" s="52"/>
      <c r="AK1180" s="52"/>
      <c r="AL1180" s="52"/>
      <c r="AM1180" s="52"/>
      <c r="AN1180" s="52"/>
      <c r="AO1180" s="52"/>
      <c r="AP1180" s="52"/>
      <c r="AQ1180" s="52"/>
      <c r="AR1180" s="52"/>
      <c r="AS1180" s="52"/>
      <c r="AT1180" s="52"/>
      <c r="AU1180" s="52"/>
      <c r="AV1180" s="52"/>
      <c r="AW1180" s="52"/>
      <c r="AX1180" s="52"/>
      <c r="AY1180" s="52"/>
      <c r="AZ1180" s="52"/>
      <c r="BA1180" s="52"/>
      <c r="BB1180" s="52"/>
      <c r="BC1180" s="52"/>
      <c r="BD11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38.319041214887093</v>
      </c>
      <c r="BE11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66.075062270831694</v>
      </c>
      <c r="BF11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111.47357444330787</v>
      </c>
      <c r="BG11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158.44530238413722</v>
      </c>
      <c r="BH11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195.07875527578878</v>
      </c>
      <c r="BI11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202.27059878826026</v>
      </c>
      <c r="BJ11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205.52940287984893</v>
      </c>
      <c r="BK11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177.66100926902195</v>
      </c>
      <c r="BL11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124.7335359194272</v>
      </c>
      <c r="BM11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80.121631631127542</v>
      </c>
      <c r="BN11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37.082943111181052</v>
      </c>
      <c r="BO11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31.35194281218034</v>
      </c>
      <c r="BP1180">
        <f>SUM(Таб[[#This Row],[1]:[12]])</f>
        <v>1428.1427999999999</v>
      </c>
    </row>
    <row r="1181" spans="2:68" ht="38.25">
      <c r="B1181" s="52" t="s">
        <v>384</v>
      </c>
      <c r="C1181" t="str">
        <f>IFERROR(VLOOKUP(Таб[[#This Row],[Зелений Тариф ЕЦ]],Sheet6!$H$9:$I$29,2,FALSE),"")</f>
        <v>Земля</v>
      </c>
      <c r="D1181" t="s">
        <v>3396</v>
      </c>
      <c r="E1181" s="52"/>
      <c r="F1181" s="52" t="s">
        <v>3287</v>
      </c>
      <c r="G1181" s="104" t="s">
        <v>3327</v>
      </c>
      <c r="H1181" s="52" t="s">
        <v>69</v>
      </c>
      <c r="I1181" s="52"/>
      <c r="J1181" s="54">
        <v>25.841000000000001</v>
      </c>
      <c r="K1181" s="8">
        <v>43986</v>
      </c>
      <c r="L1181" s="8">
        <v>43999</v>
      </c>
      <c r="M1181" s="52">
        <v>6</v>
      </c>
      <c r="N1181" s="55" t="s">
        <v>2678</v>
      </c>
      <c r="O1181" s="52">
        <v>2020</v>
      </c>
      <c r="P1181" s="52">
        <v>0.11260000000000001</v>
      </c>
      <c r="Q1181" s="56"/>
      <c r="R1181" s="11">
        <f>ROUND(Таб[[#This Row],[Зелений Тариф ЕЦ]]+Таб[[#This Row],[Зелений Тариф ЕЦ]]*Таб[[#This Row],[% надбавки]],4)</f>
        <v>0.11260000000000001</v>
      </c>
      <c r="S1181" s="57"/>
      <c r="T1181" s="52"/>
      <c r="U1181" s="52"/>
      <c r="V1181" s="52"/>
      <c r="W1181" s="52"/>
      <c r="X1181" s="52"/>
      <c r="Y1181" s="52"/>
      <c r="Z1181" s="52"/>
      <c r="AA1181" s="52"/>
      <c r="AB1181" s="52"/>
      <c r="AC1181" s="52"/>
      <c r="AD1181" s="52"/>
      <c r="AE1181" s="52"/>
      <c r="AF1181" s="52"/>
      <c r="AG1181" s="52"/>
      <c r="AH1181" s="52"/>
      <c r="AI1181" s="52"/>
      <c r="AJ1181" s="52"/>
      <c r="AK1181" s="52"/>
      <c r="AL1181" s="52"/>
      <c r="AM1181" s="52"/>
      <c r="AN1181" s="52"/>
      <c r="AO1181" s="52"/>
      <c r="AP1181" s="52"/>
      <c r="AQ1181" s="52"/>
      <c r="AR1181" s="52"/>
      <c r="AS1181" s="52"/>
      <c r="AT1181" s="52"/>
      <c r="AU1181" s="52"/>
      <c r="AV1181" s="52"/>
      <c r="AW1181" s="52"/>
      <c r="AX1181" s="52"/>
      <c r="AY1181" s="52"/>
      <c r="AZ1181" s="52"/>
      <c r="BA1181" s="52"/>
      <c r="BB1181" s="52"/>
      <c r="BC1181" s="52"/>
      <c r="BD11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832.10281011251891</v>
      </c>
      <c r="BE11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1434.8283060004721</v>
      </c>
      <c r="BF11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2420.662720327327</v>
      </c>
      <c r="BG11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3440.6597133684791</v>
      </c>
      <c r="BH11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4236.1597605728221</v>
      </c>
      <c r="BI11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4392.3315489810375</v>
      </c>
      <c r="BJ11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4463.0968906035087</v>
      </c>
      <c r="BK11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3857.9312105216777</v>
      </c>
      <c r="BL11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2708.6044552049734</v>
      </c>
      <c r="BM11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1739.8513302352662</v>
      </c>
      <c r="BN11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805.26078397985691</v>
      </c>
      <c r="BO11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680.81139009206072</v>
      </c>
      <c r="BP1181">
        <f>SUM(Таб[[#This Row],[1]:[12]])</f>
        <v>31012.300919999998</v>
      </c>
    </row>
    <row r="1182" spans="2:68" ht="38.25">
      <c r="B1182" s="52" t="s">
        <v>384</v>
      </c>
      <c r="C1182" t="str">
        <f>IFERROR(VLOOKUP(Таб[[#This Row],[Зелений Тариф ЕЦ]],Sheet6!$H$9:$I$29,2,FALSE),"")</f>
        <v>Земля</v>
      </c>
      <c r="E1182" s="52"/>
      <c r="F1182" s="52"/>
      <c r="G1182" s="104" t="s">
        <v>3328</v>
      </c>
      <c r="H1182" s="52" t="s">
        <v>233</v>
      </c>
      <c r="I1182" s="52"/>
      <c r="J1182" s="54">
        <v>0.94899999999999995</v>
      </c>
      <c r="K1182" s="8">
        <v>43785</v>
      </c>
      <c r="L1182" s="8">
        <v>43999</v>
      </c>
      <c r="M1182" s="52">
        <v>6</v>
      </c>
      <c r="N1182" s="55" t="s">
        <v>2678</v>
      </c>
      <c r="O1182" s="52">
        <v>2020</v>
      </c>
      <c r="P1182" s="52">
        <v>0.15029999999999999</v>
      </c>
      <c r="Q1182" s="56"/>
      <c r="R1182" s="11">
        <f>ROUND(Таб[[#This Row],[Зелений Тариф ЕЦ]]+Таб[[#This Row],[Зелений Тариф ЕЦ]]*Таб[[#This Row],[% надбавки]],4)</f>
        <v>0.15029999999999999</v>
      </c>
      <c r="S1182" s="57"/>
      <c r="T1182" s="52"/>
      <c r="U1182" s="52"/>
      <c r="V1182" s="52"/>
      <c r="W1182" s="52"/>
      <c r="X1182" s="52"/>
      <c r="Y1182" s="52"/>
      <c r="Z1182" s="52"/>
      <c r="AA1182" s="52"/>
      <c r="AB1182" s="52"/>
      <c r="AC1182" s="52"/>
      <c r="AD1182" s="52"/>
      <c r="AE1182" s="52"/>
      <c r="AF1182" s="52"/>
      <c r="AG1182" s="52"/>
      <c r="AH1182" s="52"/>
      <c r="AI1182" s="52"/>
      <c r="AJ1182" s="52"/>
      <c r="AK1182" s="52"/>
      <c r="AL1182" s="52"/>
      <c r="AM1182" s="52"/>
      <c r="AN1182" s="52"/>
      <c r="AO1182" s="52"/>
      <c r="AP1182" s="52"/>
      <c r="AQ1182" s="52"/>
      <c r="AR1182" s="52"/>
      <c r="AS1182" s="52"/>
      <c r="AT1182" s="52"/>
      <c r="AU1182" s="52"/>
      <c r="AV1182" s="52"/>
      <c r="AW1182" s="52"/>
      <c r="AX1182" s="52"/>
      <c r="AY1182" s="52"/>
      <c r="AZ1182" s="52"/>
      <c r="BA1182" s="52"/>
      <c r="BB1182" s="52"/>
      <c r="BC1182" s="52"/>
      <c r="BD11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30.558630346998193</v>
      </c>
      <c r="BE11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52.693474029427968</v>
      </c>
      <c r="BF11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88.897833736722006</v>
      </c>
      <c r="BG11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126.35679996852622</v>
      </c>
      <c r="BH11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155.57120903926352</v>
      </c>
      <c r="BI11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161.30655315131008</v>
      </c>
      <c r="BJ11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163.9053809520812</v>
      </c>
      <c r="BK11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141.68092251790071</v>
      </c>
      <c r="BL11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99.472374443307913</v>
      </c>
      <c r="BM11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63.895317998268936</v>
      </c>
      <c r="BN11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29.572868077740186</v>
      </c>
      <c r="BO11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25.002515738453063</v>
      </c>
      <c r="BP1182">
        <f>SUM(Таб[[#This Row],[1]:[12]])</f>
        <v>1138.9138800000001</v>
      </c>
    </row>
    <row r="1183" spans="2:68" ht="38.25">
      <c r="B1183" s="52" t="s">
        <v>384</v>
      </c>
      <c r="C1183" t="str">
        <f>IFERROR(VLOOKUP(Таб[[#This Row],[Зелений Тариф ЕЦ]],Sheet6!$H$9:$I$29,2,FALSE),"")</f>
        <v>Дах</v>
      </c>
      <c r="E1183" s="52"/>
      <c r="F1183" s="52"/>
      <c r="G1183" s="104" t="s">
        <v>3329</v>
      </c>
      <c r="H1183" s="52" t="s">
        <v>107</v>
      </c>
      <c r="I1183" s="52"/>
      <c r="J1183" s="54">
        <v>0.56999999999999995</v>
      </c>
      <c r="K1183" s="8">
        <v>43788</v>
      </c>
      <c r="L1183" s="8">
        <v>43999</v>
      </c>
      <c r="M1183" s="52">
        <v>6</v>
      </c>
      <c r="N1183" s="55" t="s">
        <v>2678</v>
      </c>
      <c r="O1183" s="52">
        <v>2020</v>
      </c>
      <c r="P1183">
        <v>0.16370000000000001</v>
      </c>
      <c r="Q1183" s="56"/>
      <c r="R1183" s="11">
        <f>ROUND(Таб[[#This Row],[Зелений Тариф ЕЦ]]+Таб[[#This Row],[Зелений Тариф ЕЦ]]*Таб[[#This Row],[% надбавки]],4)</f>
        <v>0.16370000000000001</v>
      </c>
      <c r="S1183" s="57"/>
      <c r="T1183" s="52"/>
      <c r="U1183" s="52"/>
      <c r="V1183" s="52"/>
      <c r="W1183" s="52"/>
      <c r="X1183" s="52"/>
      <c r="Y1183" s="52"/>
      <c r="Z1183" s="52"/>
      <c r="AA1183" s="52"/>
      <c r="AB1183" s="52"/>
      <c r="AC1183" s="52"/>
      <c r="AD1183" s="52"/>
      <c r="AE1183" s="52"/>
      <c r="AF1183" s="52"/>
      <c r="AG1183" s="52"/>
      <c r="AH1183" s="52"/>
      <c r="AI1183" s="52"/>
      <c r="AJ1183" s="52"/>
      <c r="AK1183" s="52"/>
      <c r="AL1183" s="52"/>
      <c r="AM1183" s="52"/>
      <c r="AN1183" s="52"/>
      <c r="AO1183" s="52"/>
      <c r="AP1183" s="52"/>
      <c r="AQ1183" s="52"/>
      <c r="AR1183" s="52"/>
      <c r="AS1183" s="52"/>
      <c r="AT1183" s="52"/>
      <c r="AU1183" s="52"/>
      <c r="AV1183" s="52"/>
      <c r="AW1183" s="52"/>
      <c r="AX1183" s="52"/>
      <c r="AY1183" s="52"/>
      <c r="AZ1183" s="52"/>
      <c r="BA1183" s="52"/>
      <c r="BB1183" s="52"/>
      <c r="BC1183" s="52"/>
      <c r="BD11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18.354498733181213</v>
      </c>
      <c r="BE11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31.649399575104255</v>
      </c>
      <c r="BF11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53.394905405618061</v>
      </c>
      <c r="BG11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75.893968368872436</v>
      </c>
      <c r="BH11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93.4410844598316</v>
      </c>
      <c r="BI11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96.885917066645689</v>
      </c>
      <c r="BJ11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98.446856841608309</v>
      </c>
      <c r="BK11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85.0981304902038</v>
      </c>
      <c r="BL11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59.746315524431509</v>
      </c>
      <c r="BM11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38.377588260287979</v>
      </c>
      <c r="BN11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17.762418128885045</v>
      </c>
      <c r="BO11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15.017317145330079</v>
      </c>
      <c r="BP1183">
        <f>SUM(Таб[[#This Row],[1]:[12]])</f>
        <v>684.06840000000011</v>
      </c>
    </row>
    <row r="1184" spans="2:68" ht="51">
      <c r="B1184" s="52" t="s">
        <v>384</v>
      </c>
      <c r="C1184" t="str">
        <f>IFERROR(VLOOKUP(Таб[[#This Row],[Зелений Тариф ЕЦ]],Sheet6!$H$9:$I$29,2,FALSE),"")</f>
        <v>Земля</v>
      </c>
      <c r="E1184" s="52"/>
      <c r="F1184" s="52"/>
      <c r="G1184" s="104" t="s">
        <v>3330</v>
      </c>
      <c r="H1184" s="52" t="s">
        <v>321</v>
      </c>
      <c r="I1184" s="52"/>
      <c r="J1184" s="54">
        <v>1.1970000000000001</v>
      </c>
      <c r="K1184" s="8">
        <v>43823</v>
      </c>
      <c r="L1184" s="8">
        <v>44006</v>
      </c>
      <c r="M1184" s="52">
        <v>6</v>
      </c>
      <c r="N1184" s="55" t="s">
        <v>2678</v>
      </c>
      <c r="O1184" s="52">
        <v>2020</v>
      </c>
      <c r="P1184" s="52">
        <v>0.15029999999999999</v>
      </c>
      <c r="Q1184" s="56"/>
      <c r="R1184" s="11">
        <f>ROUND(Таб[[#This Row],[Зелений Тариф ЕЦ]]+Таб[[#This Row],[Зелений Тариф ЕЦ]]*Таб[[#This Row],[% надбавки]],4)</f>
        <v>0.15029999999999999</v>
      </c>
      <c r="S1184" s="57"/>
      <c r="T1184" s="52"/>
      <c r="U1184" s="52"/>
      <c r="V1184" s="52"/>
      <c r="W1184" s="52"/>
      <c r="X1184" s="52"/>
      <c r="Y1184" s="52"/>
      <c r="Z1184" s="52"/>
      <c r="AA1184" s="52"/>
      <c r="AB1184" s="52"/>
      <c r="AC1184" s="52"/>
      <c r="AD1184" s="52"/>
      <c r="AE1184" s="52"/>
      <c r="AF1184" s="52"/>
      <c r="AG1184" s="52"/>
      <c r="AH1184" s="52"/>
      <c r="AI1184" s="52"/>
      <c r="AJ1184" s="52"/>
      <c r="AK1184" s="52"/>
      <c r="AL1184" s="52"/>
      <c r="AM1184" s="52"/>
      <c r="AN1184" s="52"/>
      <c r="AO1184" s="52"/>
      <c r="AP1184" s="52"/>
      <c r="AQ1184" s="52"/>
      <c r="AR1184" s="52"/>
      <c r="AS1184" s="52"/>
      <c r="AT1184" s="52"/>
      <c r="AU1184" s="52"/>
      <c r="AV1184" s="52"/>
      <c r="AW1184" s="52"/>
      <c r="AX1184" s="52"/>
      <c r="AY1184" s="52"/>
      <c r="AZ1184" s="52"/>
      <c r="BA1184" s="52"/>
      <c r="BB1184" s="52"/>
      <c r="BC1184" s="52"/>
      <c r="BD11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38.544447339680545</v>
      </c>
      <c r="BE11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66.463739107718936</v>
      </c>
      <c r="BF11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112.12930135179795</v>
      </c>
      <c r="BG11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159.37733357463216</v>
      </c>
      <c r="BH11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196.22627736564638</v>
      </c>
      <c r="BI11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203.46042583995597</v>
      </c>
      <c r="BJ11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206.7383993673775</v>
      </c>
      <c r="BK11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178.70607402942798</v>
      </c>
      <c r="BL11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125.46726260130617</v>
      </c>
      <c r="BM11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80.592935346604776</v>
      </c>
      <c r="BN11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37.301078070658598</v>
      </c>
      <c r="BO11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31.536366005193173</v>
      </c>
      <c r="BP1184">
        <f>SUM(Таб[[#This Row],[1]:[12]])</f>
        <v>1436.5436400000001</v>
      </c>
    </row>
    <row r="1185" spans="2:68" ht="38.25">
      <c r="B1185" s="52" t="s">
        <v>384</v>
      </c>
      <c r="C1185" t="str">
        <f>IFERROR(VLOOKUP(Таб[[#This Row],[Зелений Тариф ЕЦ]],Sheet6!$H$9:$I$29,2,FALSE),"")</f>
        <v>Земля</v>
      </c>
      <c r="E1185" s="52"/>
      <c r="F1185" s="52"/>
      <c r="G1185" s="104" t="s">
        <v>3331</v>
      </c>
      <c r="H1185" s="52" t="s">
        <v>136</v>
      </c>
      <c r="I1185" s="52"/>
      <c r="J1185" s="54">
        <v>1.5529999999999999</v>
      </c>
      <c r="K1185" s="8">
        <v>43812</v>
      </c>
      <c r="L1185" s="8">
        <v>44006</v>
      </c>
      <c r="M1185" s="52">
        <v>6</v>
      </c>
      <c r="N1185" s="55" t="s">
        <v>2678</v>
      </c>
      <c r="O1185" s="52">
        <v>2020</v>
      </c>
      <c r="P1185" s="52">
        <v>0.15029999999999999</v>
      </c>
      <c r="Q1185" s="56"/>
      <c r="R1185" s="11">
        <f>ROUND(Таб[[#This Row],[Зелений Тариф ЕЦ]]+Таб[[#This Row],[Зелений Тариф ЕЦ]]*Таб[[#This Row],[% надбавки]],4)</f>
        <v>0.15029999999999999</v>
      </c>
      <c r="S1185" s="57"/>
      <c r="T1185" s="52"/>
      <c r="U1185" s="52"/>
      <c r="V1185" s="52"/>
      <c r="W1185" s="52"/>
      <c r="X1185" s="52"/>
      <c r="Y1185" s="52"/>
      <c r="Z1185" s="52"/>
      <c r="AA1185" s="52"/>
      <c r="AB1185" s="52"/>
      <c r="AC1185" s="52"/>
      <c r="AD1185" s="52"/>
      <c r="AE1185" s="52"/>
      <c r="AF1185" s="52"/>
      <c r="AG1185" s="52"/>
      <c r="AH1185" s="52"/>
      <c r="AI1185" s="52"/>
      <c r="AJ1185" s="52"/>
      <c r="AK1185" s="52"/>
      <c r="AL1185" s="52"/>
      <c r="AM1185" s="52"/>
      <c r="AN1185" s="52"/>
      <c r="AO1185" s="52"/>
      <c r="AP1185" s="52"/>
      <c r="AQ1185" s="52"/>
      <c r="AR1185" s="52"/>
      <c r="AS1185" s="52"/>
      <c r="AT1185" s="52"/>
      <c r="AU1185" s="52"/>
      <c r="AV1185" s="52"/>
      <c r="AW1185" s="52"/>
      <c r="AX1185" s="52"/>
      <c r="AY1185" s="52"/>
      <c r="AZ1185" s="52"/>
      <c r="BA1185" s="52"/>
      <c r="BB1185" s="52"/>
      <c r="BC1185" s="52"/>
      <c r="BD11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50.007958829176175</v>
      </c>
      <c r="BE11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86.230732526555983</v>
      </c>
      <c r="BF11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145.47769841214887</v>
      </c>
      <c r="BG11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206.77777697694546</v>
      </c>
      <c r="BH11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254.5859722212605</v>
      </c>
      <c r="BI11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263.97163018333458</v>
      </c>
      <c r="BJ11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268.22450644739945</v>
      </c>
      <c r="BK11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231.85508184436227</v>
      </c>
      <c r="BL11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162.78250527972304</v>
      </c>
      <c r="BM11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104.56209573373198</v>
      </c>
      <c r="BN11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48.394798866944683</v>
      </c>
      <c r="BO11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40.915602678416874</v>
      </c>
      <c r="BP1185">
        <f>SUM(Таб[[#This Row],[1]:[12]])</f>
        <v>1863.7863599999998</v>
      </c>
    </row>
    <row r="1186" spans="2:68">
      <c r="B1186" s="52" t="s">
        <v>384</v>
      </c>
      <c r="C1186" t="str">
        <f>IFERROR(VLOOKUP(Таб[[#This Row],[Зелений Тариф ЕЦ]],Sheet6!$H$9:$I$29,2,FALSE),"")</f>
        <v>Дах</v>
      </c>
      <c r="E1186" s="52"/>
      <c r="F1186" s="52"/>
      <c r="G1186" t="s">
        <v>2254</v>
      </c>
      <c r="H1186" s="52" t="s">
        <v>107</v>
      </c>
      <c r="I1186" s="52"/>
      <c r="J1186" s="54">
        <v>0.13600000000000001</v>
      </c>
      <c r="K1186" s="8">
        <v>43740</v>
      </c>
      <c r="L1186" s="8">
        <v>44006</v>
      </c>
      <c r="M1186" s="52">
        <v>6</v>
      </c>
      <c r="N1186" s="55" t="s">
        <v>2678</v>
      </c>
      <c r="O1186" s="52">
        <v>2020</v>
      </c>
      <c r="P1186">
        <v>0.16370000000000001</v>
      </c>
      <c r="Q1186" s="56"/>
      <c r="R1186" s="11">
        <f>ROUND(Таб[[#This Row],[Зелений Тариф ЕЦ]]+Таб[[#This Row],[Зелений Тариф ЕЦ]]*Таб[[#This Row],[% надбавки]],4)</f>
        <v>0.16370000000000001</v>
      </c>
      <c r="S1186" s="57"/>
      <c r="T1186" s="52"/>
      <c r="U1186" s="52"/>
      <c r="V1186" s="52"/>
      <c r="W1186" s="52"/>
      <c r="X1186" s="52"/>
      <c r="Y1186" s="52"/>
      <c r="Z1186" s="52"/>
      <c r="AA1186" s="52"/>
      <c r="AB1186" s="52"/>
      <c r="AC1186" s="52"/>
      <c r="AD1186" s="52"/>
      <c r="AE1186" s="52"/>
      <c r="AF1186" s="52"/>
      <c r="AG1186" s="52"/>
      <c r="AH1186" s="52"/>
      <c r="AI1186" s="52"/>
      <c r="AJ1186" s="52"/>
      <c r="AK1186" s="52"/>
      <c r="AL1186" s="52"/>
      <c r="AM1186" s="52"/>
      <c r="AN1186" s="52"/>
      <c r="AO1186" s="52"/>
      <c r="AP1186" s="52"/>
      <c r="AQ1186" s="52"/>
      <c r="AR1186" s="52"/>
      <c r="AS1186" s="52"/>
      <c r="AT1186" s="52"/>
      <c r="AU1186" s="52"/>
      <c r="AV1186" s="52"/>
      <c r="AW1186" s="52"/>
      <c r="AX1186" s="52"/>
      <c r="AY1186" s="52"/>
      <c r="AZ1186" s="52"/>
      <c r="BA1186" s="52"/>
      <c r="BB1186" s="52"/>
      <c r="BC1186" s="52"/>
      <c r="BD11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4.3793189959870968</v>
      </c>
      <c r="BE11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7.5514356880950508</v>
      </c>
      <c r="BF11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12.739837079235187</v>
      </c>
      <c r="BG11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18.108034558187114</v>
      </c>
      <c r="BH11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22.294714888661581</v>
      </c>
      <c r="BI11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23.116639861515466</v>
      </c>
      <c r="BJ11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23.489074614839883</v>
      </c>
      <c r="BK11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20.304115345031082</v>
      </c>
      <c r="BL11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14.255261247934538</v>
      </c>
      <c r="BM11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9.1567579007002919</v>
      </c>
      <c r="BN11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4.2380506412778356</v>
      </c>
      <c r="BO11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3.5830791785348968</v>
      </c>
      <c r="BP1186">
        <f>SUM(Таб[[#This Row],[1]:[12]])</f>
        <v>163.21632</v>
      </c>
    </row>
    <row r="1187" spans="2:68">
      <c r="B1187" s="52" t="s">
        <v>384</v>
      </c>
      <c r="C1187" t="str">
        <f>IFERROR(VLOOKUP(Таб[[#This Row],[Зелений Тариф ЕЦ]],Sheet6!$H$9:$I$29,2,FALSE),"")</f>
        <v>Земля</v>
      </c>
      <c r="E1187" s="52" t="s">
        <v>3447</v>
      </c>
      <c r="F1187" s="52" t="s">
        <v>3416</v>
      </c>
      <c r="G1187" t="s">
        <v>3342</v>
      </c>
      <c r="H1187" s="52" t="s">
        <v>172</v>
      </c>
      <c r="I1187" s="52"/>
      <c r="J1187" s="54">
        <v>11.798</v>
      </c>
      <c r="K1187" s="8">
        <v>43826</v>
      </c>
      <c r="L1187" s="8">
        <v>44012</v>
      </c>
      <c r="M1187" s="52">
        <v>6</v>
      </c>
      <c r="N1187" s="55" t="s">
        <v>2678</v>
      </c>
      <c r="O1187" s="52">
        <v>2020</v>
      </c>
      <c r="P1187" s="52">
        <v>0.15029999999999999</v>
      </c>
      <c r="Q1187" s="56"/>
      <c r="R1187" s="11">
        <f>ROUND(Таб[[#This Row],[Зелений Тариф ЕЦ]]+Таб[[#This Row],[Зелений Тариф ЕЦ]]*Таб[[#This Row],[% надбавки]],4)</f>
        <v>0.15029999999999999</v>
      </c>
      <c r="S1187" s="57"/>
      <c r="T1187" s="52"/>
      <c r="U1187" s="52"/>
      <c r="V1187" s="52"/>
      <c r="W1187" s="52"/>
      <c r="X1187" s="52"/>
      <c r="Y1187" s="52"/>
      <c r="Z1187" s="52"/>
      <c r="AA1187" s="52"/>
      <c r="AB1187" s="52"/>
      <c r="AC1187" s="52"/>
      <c r="AD1187" s="52"/>
      <c r="AE1187" s="52"/>
      <c r="AF1187" s="52"/>
      <c r="AG1187" s="52"/>
      <c r="AH1187" s="52"/>
      <c r="AI1187" s="52"/>
      <c r="AJ1187" s="52"/>
      <c r="AK1187" s="52"/>
      <c r="AL1187" s="52"/>
      <c r="AM1187" s="52"/>
      <c r="AN1187" s="52"/>
      <c r="AO1187" s="52"/>
      <c r="AP1187" s="52"/>
      <c r="AQ1187" s="52"/>
      <c r="AR1187" s="52"/>
      <c r="AS1187" s="52"/>
      <c r="AT1187" s="52"/>
      <c r="AU1187" s="52"/>
      <c r="AV1187" s="52"/>
      <c r="AW1187" s="52"/>
      <c r="AX1187" s="52"/>
      <c r="AY1187" s="52"/>
      <c r="AZ1187" s="52"/>
      <c r="BA1187" s="52"/>
      <c r="BB1187" s="52"/>
      <c r="BC1187" s="52"/>
      <c r="BD11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379.90592290188061</v>
      </c>
      <c r="BE11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655.0870459422456</v>
      </c>
      <c r="BF11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1105.1808666236525</v>
      </c>
      <c r="BG11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1570.8719979227317</v>
      </c>
      <c r="BH11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1934.066516591392</v>
      </c>
      <c r="BI11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2005.3685079864663</v>
      </c>
      <c r="BJ11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2037.6772228373593</v>
      </c>
      <c r="BK11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1761.3820061814463</v>
      </c>
      <c r="BL11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1236.6439132583209</v>
      </c>
      <c r="BM11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794.34874788575019</v>
      </c>
      <c r="BN11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367.65089313085218</v>
      </c>
      <c r="BO11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310.83211873790225</v>
      </c>
      <c r="BP1187">
        <f>SUM(Таб[[#This Row],[1]:[12]])</f>
        <v>14159.01576</v>
      </c>
    </row>
    <row r="1188" spans="2:68" ht="25.5">
      <c r="B1188" s="52" t="s">
        <v>384</v>
      </c>
      <c r="C1188" t="str">
        <f>IFERROR(VLOOKUP(Таб[[#This Row],[Зелений Тариф ЕЦ]],Sheet6!$H$9:$I$29,2,FALSE),"")</f>
        <v>Земля</v>
      </c>
      <c r="E1188" s="53" t="s">
        <v>3448</v>
      </c>
      <c r="F1188" s="52" t="s">
        <v>3416</v>
      </c>
      <c r="G1188" t="s">
        <v>3343</v>
      </c>
      <c r="H1188" s="52" t="s">
        <v>172</v>
      </c>
      <c r="I1188" s="52"/>
      <c r="J1188" s="54">
        <v>19.013000000000002</v>
      </c>
      <c r="K1188" s="8">
        <v>43826</v>
      </c>
      <c r="L1188" s="8">
        <v>44012</v>
      </c>
      <c r="M1188" s="52">
        <v>6</v>
      </c>
      <c r="N1188" s="55" t="s">
        <v>2678</v>
      </c>
      <c r="O1188" s="52">
        <v>2020</v>
      </c>
      <c r="P1188" s="52">
        <v>0.15029999999999999</v>
      </c>
      <c r="Q1188" s="56"/>
      <c r="R1188" s="11">
        <f>ROUND(Таб[[#This Row],[Зелений Тариф ЕЦ]]+Таб[[#This Row],[Зелений Тариф ЕЦ]]*Таб[[#This Row],[% надбавки]],4)</f>
        <v>0.15029999999999999</v>
      </c>
      <c r="S1188" s="57"/>
      <c r="T1188" s="52"/>
      <c r="U1188" s="52"/>
      <c r="V1188" s="52"/>
      <c r="W1188" s="52"/>
      <c r="X1188" s="52"/>
      <c r="Y1188" s="52"/>
      <c r="Z1188" s="52"/>
      <c r="AA1188" s="52"/>
      <c r="AB1188" s="52"/>
      <c r="AC1188" s="52"/>
      <c r="AD1188" s="52"/>
      <c r="AE1188" s="52"/>
      <c r="AF1188" s="52"/>
      <c r="AG1188" s="52"/>
      <c r="AH1188" s="52"/>
      <c r="AI1188" s="52"/>
      <c r="AJ1188" s="52"/>
      <c r="AK1188" s="52"/>
      <c r="AL1188" s="52"/>
      <c r="AM1188" s="52"/>
      <c r="AN1188" s="52"/>
      <c r="AO1188" s="52"/>
      <c r="AP1188" s="52"/>
      <c r="AQ1188" s="52"/>
      <c r="AR1188" s="52"/>
      <c r="AS1188" s="52"/>
      <c r="AT1188" s="52"/>
      <c r="AU1188" s="52"/>
      <c r="AV1188" s="52"/>
      <c r="AW1188" s="52"/>
      <c r="AX1188" s="52"/>
      <c r="AY1188" s="52"/>
      <c r="AZ1188" s="52"/>
      <c r="BA1188" s="52"/>
      <c r="BB1188" s="52"/>
      <c r="BC1188" s="52"/>
      <c r="BD11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612.23523581399024</v>
      </c>
      <c r="BE11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1055.7018142481706</v>
      </c>
      <c r="BF11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1781.0479587316077</v>
      </c>
      <c r="BG11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2531.5298606971437</v>
      </c>
      <c r="BH11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3116.8339277803138</v>
      </c>
      <c r="BI11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3231.7402476984821</v>
      </c>
      <c r="BJ11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3283.8071739114021</v>
      </c>
      <c r="BK11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2838.5451842284997</v>
      </c>
      <c r="BL11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1992.9064860807307</v>
      </c>
      <c r="BM11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1280.128220338343</v>
      </c>
      <c r="BN11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592.48571207805503</v>
      </c>
      <c r="BO11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500.91973839326477</v>
      </c>
      <c r="BP1188">
        <f>SUM(Таб[[#This Row],[1]:[12]])</f>
        <v>22817.881560000002</v>
      </c>
    </row>
    <row r="1189" spans="2:68">
      <c r="B1189" s="52" t="s">
        <v>384</v>
      </c>
      <c r="C1189" t="str">
        <f>IFERROR(VLOOKUP(Таб[[#This Row],[Зелений Тариф ЕЦ]],Sheet6!$H$9:$I$29,2,FALSE),"")</f>
        <v>Земля</v>
      </c>
      <c r="E1189" s="52"/>
      <c r="F1189" s="52"/>
      <c r="G1189" t="s">
        <v>3344</v>
      </c>
      <c r="H1189" s="52" t="s">
        <v>122</v>
      </c>
      <c r="I1189" s="52"/>
      <c r="J1189" s="54">
        <v>4.9470000000000001</v>
      </c>
      <c r="K1189" s="8">
        <v>43935</v>
      </c>
      <c r="L1189" s="8">
        <v>44012</v>
      </c>
      <c r="M1189" s="52">
        <v>6</v>
      </c>
      <c r="N1189" s="55" t="s">
        <v>2678</v>
      </c>
      <c r="O1189" s="52">
        <v>2020</v>
      </c>
      <c r="P1189" s="52">
        <v>0.11260000000000001</v>
      </c>
      <c r="Q1189" s="56"/>
      <c r="R1189" s="11">
        <f>ROUND(Таб[[#This Row],[Зелений Тариф ЕЦ]]+Таб[[#This Row],[Зелений Тариф ЕЦ]]*Таб[[#This Row],[% надбавки]],4)</f>
        <v>0.11260000000000001</v>
      </c>
      <c r="S1189" s="57"/>
      <c r="T1189" s="52"/>
      <c r="U1189" s="52"/>
      <c r="V1189" s="52"/>
      <c r="W1189" s="52"/>
      <c r="X1189" s="52"/>
      <c r="Y1189" s="52"/>
      <c r="Z1189" s="52"/>
      <c r="AA1189" s="52"/>
      <c r="AB1189" s="52"/>
      <c r="AC1189" s="52"/>
      <c r="AD1189" s="52"/>
      <c r="AE1189" s="52"/>
      <c r="AF1189" s="52"/>
      <c r="AG1189" s="52"/>
      <c r="AH1189" s="52"/>
      <c r="AI1189" s="52"/>
      <c r="AJ1189" s="52"/>
      <c r="AK1189" s="52"/>
      <c r="AL1189" s="52"/>
      <c r="AM1189" s="52"/>
      <c r="AN1189" s="52"/>
      <c r="AO1189" s="52"/>
      <c r="AP1189" s="52"/>
      <c r="AQ1189" s="52"/>
      <c r="AR1189" s="52"/>
      <c r="AS1189" s="52"/>
      <c r="AT1189" s="52"/>
      <c r="AU1189" s="52"/>
      <c r="AV1189" s="52"/>
      <c r="AW1189" s="52"/>
      <c r="AX1189" s="52"/>
      <c r="AY1189" s="52"/>
      <c r="AZ1189" s="52"/>
      <c r="BA1189" s="52"/>
      <c r="BB1189" s="52"/>
      <c r="BC1189" s="52"/>
      <c r="BD11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159.29772847903064</v>
      </c>
      <c r="BE11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274.68347315445749</v>
      </c>
      <c r="BF11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463.41157375717989</v>
      </c>
      <c r="BG11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658.67975705405615</v>
      </c>
      <c r="BH11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810.97025407506487</v>
      </c>
      <c r="BI11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840.86777496262494</v>
      </c>
      <c r="BJ11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854.41508911480059</v>
      </c>
      <c r="BK11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738.56219567550568</v>
      </c>
      <c r="BL11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518.53512789361866</v>
      </c>
      <c r="BM11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333.07706863797307</v>
      </c>
      <c r="BN11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154.15909207648124</v>
      </c>
      <c r="BO11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130.33450511920688</v>
      </c>
      <c r="BP1189">
        <f>SUM(Таб[[#This Row],[1]:[12]])</f>
        <v>5936.9936399999997</v>
      </c>
    </row>
    <row r="1190" spans="2:68">
      <c r="B1190" s="52" t="s">
        <v>384</v>
      </c>
      <c r="C1190" t="str">
        <f>IFERROR(VLOOKUP(Таб[[#This Row],[Зелений Тариф ЕЦ]],Sheet6!$H$9:$I$29,2,FALSE),"")</f>
        <v>Земля</v>
      </c>
      <c r="E1190" s="52"/>
      <c r="F1190" s="52"/>
      <c r="G1190" t="s">
        <v>3345</v>
      </c>
      <c r="H1190" s="52" t="s">
        <v>122</v>
      </c>
      <c r="I1190" s="52"/>
      <c r="J1190" s="54">
        <v>2.9449999999999998</v>
      </c>
      <c r="K1190" s="8">
        <v>43935</v>
      </c>
      <c r="L1190" s="8">
        <v>44012</v>
      </c>
      <c r="M1190" s="52">
        <v>6</v>
      </c>
      <c r="N1190" s="55" t="s">
        <v>2678</v>
      </c>
      <c r="O1190" s="52">
        <v>2020</v>
      </c>
      <c r="P1190" s="52">
        <v>0.11260000000000001</v>
      </c>
      <c r="Q1190" s="56"/>
      <c r="R1190" s="11">
        <f>ROUND(Таб[[#This Row],[Зелений Тариф ЕЦ]]+Таб[[#This Row],[Зелений Тариф ЕЦ]]*Таб[[#This Row],[% надбавки]],4)</f>
        <v>0.11260000000000001</v>
      </c>
      <c r="S1190" s="57"/>
      <c r="T1190" s="52"/>
      <c r="U1190" s="52"/>
      <c r="V1190" s="52"/>
      <c r="W1190" s="52"/>
      <c r="X1190" s="52"/>
      <c r="Y1190" s="52"/>
      <c r="Z1190" s="52"/>
      <c r="AA1190" s="52"/>
      <c r="AB1190" s="52"/>
      <c r="AC1190" s="52"/>
      <c r="AD1190" s="52"/>
      <c r="AE1190" s="52"/>
      <c r="AF1190" s="52"/>
      <c r="AG1190" s="52"/>
      <c r="AH1190" s="52"/>
      <c r="AI1190" s="52"/>
      <c r="AJ1190" s="52"/>
      <c r="AK1190" s="52"/>
      <c r="AL1190" s="52"/>
      <c r="AM1190" s="52"/>
      <c r="AN1190" s="52"/>
      <c r="AO1190" s="52"/>
      <c r="AP1190" s="52"/>
      <c r="AQ1190" s="52"/>
      <c r="AR1190" s="52"/>
      <c r="AS1190" s="52"/>
      <c r="AT1190" s="52"/>
      <c r="AU1190" s="52"/>
      <c r="AV1190" s="52"/>
      <c r="AW1190" s="52"/>
      <c r="AX1190" s="52"/>
      <c r="AY1190" s="52"/>
      <c r="AZ1190" s="52"/>
      <c r="BA1190" s="52"/>
      <c r="BB1190" s="52"/>
      <c r="BC1190" s="52"/>
      <c r="BD11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94.831576788102922</v>
      </c>
      <c r="BE11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163.52189780470533</v>
      </c>
      <c r="BF11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275.8736779290266</v>
      </c>
      <c r="BG11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392.11883657250758</v>
      </c>
      <c r="BH11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482.77893637579666</v>
      </c>
      <c r="BI11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500.57723817766936</v>
      </c>
      <c r="BJ11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508.6420936816429</v>
      </c>
      <c r="BK11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439.67367419938631</v>
      </c>
      <c r="BL11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308.68929687622943</v>
      </c>
      <c r="BM11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198.2842060114879</v>
      </c>
      <c r="BN11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91.772493665906055</v>
      </c>
      <c r="BO11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77.589471917538759</v>
      </c>
      <c r="BP1190">
        <f>SUM(Таб[[#This Row],[1]:[12]])</f>
        <v>3534.3534000000004</v>
      </c>
    </row>
    <row r="1191" spans="2:68">
      <c r="B1191" s="52" t="s">
        <v>384</v>
      </c>
      <c r="C1191" t="str">
        <f>IFERROR(VLOOKUP(Таб[[#This Row],[Зелений Тариф ЕЦ]],Sheet6!$H$9:$I$29,2,FALSE),"")</f>
        <v>Земля</v>
      </c>
      <c r="E1191" s="52"/>
      <c r="F1191" s="52"/>
      <c r="G1191" t="s">
        <v>3346</v>
      </c>
      <c r="H1191" s="52" t="s">
        <v>185</v>
      </c>
      <c r="I1191" s="52"/>
      <c r="J1191" s="54">
        <v>0.999</v>
      </c>
      <c r="K1191" s="8">
        <v>43993</v>
      </c>
      <c r="L1191" s="8">
        <v>44021</v>
      </c>
      <c r="M1191" s="52">
        <v>7</v>
      </c>
      <c r="N1191" s="55" t="s">
        <v>2678</v>
      </c>
      <c r="O1191" s="52">
        <v>2020</v>
      </c>
      <c r="P1191" s="52">
        <v>0.11260000000000001</v>
      </c>
      <c r="Q1191" s="56"/>
      <c r="R1191" s="11">
        <f>ROUND(Таб[[#This Row],[Зелений Тариф ЕЦ]]+Таб[[#This Row],[Зелений Тариф ЕЦ]]*Таб[[#This Row],[% надбавки]],4)</f>
        <v>0.11260000000000001</v>
      </c>
      <c r="S1191" s="57"/>
      <c r="T1191" s="52"/>
      <c r="U1191" s="52"/>
      <c r="V1191" s="52"/>
      <c r="W1191" s="52"/>
      <c r="X1191" s="52"/>
      <c r="Y1191" s="52"/>
      <c r="Z1191" s="52"/>
      <c r="AA1191" s="52"/>
      <c r="AB1191" s="52"/>
      <c r="AC1191" s="52"/>
      <c r="AD1191" s="52"/>
      <c r="AE1191" s="52"/>
      <c r="AF1191" s="52"/>
      <c r="AG1191" s="52"/>
      <c r="AH1191" s="52"/>
      <c r="AI1191" s="52"/>
      <c r="AJ1191" s="52"/>
      <c r="AK1191" s="52"/>
      <c r="AL1191" s="52"/>
      <c r="AM1191" s="52"/>
      <c r="AN1191" s="52"/>
      <c r="AO1191" s="52"/>
      <c r="AP1191" s="52"/>
      <c r="AQ1191" s="52"/>
      <c r="AR1191" s="52"/>
      <c r="AS1191" s="52"/>
      <c r="AT1191" s="52"/>
      <c r="AU1191" s="52"/>
      <c r="AV1191" s="52"/>
      <c r="AW1191" s="52"/>
      <c r="AX1191" s="52"/>
      <c r="AY1191" s="52"/>
      <c r="AZ1191" s="52"/>
      <c r="BA1191" s="52"/>
      <c r="BB1191" s="52"/>
      <c r="BC1191" s="52"/>
      <c r="BD11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32.16867409552286</v>
      </c>
      <c r="BE11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55.469737150051138</v>
      </c>
      <c r="BF11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93.581597368793766</v>
      </c>
      <c r="BG11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133.01416561491857</v>
      </c>
      <c r="BH11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163.7677953953891</v>
      </c>
      <c r="BI11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169.80531780627902</v>
      </c>
      <c r="BJ11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172.54107014871352</v>
      </c>
      <c r="BK11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149.14567080651506</v>
      </c>
      <c r="BL11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104.71327931387208</v>
      </c>
      <c r="BM11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67.26177310882052</v>
      </c>
      <c r="BN11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31.130974931151155</v>
      </c>
      <c r="BO11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26.319824259973245</v>
      </c>
      <c r="BP1191">
        <f>SUM(Таб[[#This Row],[1]:[12]])</f>
        <v>1198.9198800000001</v>
      </c>
    </row>
    <row r="1192" spans="2:68">
      <c r="B1192" s="52" t="s">
        <v>384</v>
      </c>
      <c r="C1192" t="str">
        <f>IFERROR(VLOOKUP(Таб[[#This Row],[Зелений Тариф ЕЦ]],Sheet6!$H$9:$I$29,2,FALSE),"")</f>
        <v>Земля</v>
      </c>
      <c r="E1192" s="52"/>
      <c r="F1192" s="52"/>
      <c r="G1192" t="s">
        <v>3347</v>
      </c>
      <c r="H1192" s="52" t="s">
        <v>101</v>
      </c>
      <c r="I1192" s="52"/>
      <c r="J1192" s="54">
        <v>0.46300000000000002</v>
      </c>
      <c r="K1192" s="8">
        <v>43825</v>
      </c>
      <c r="L1192" s="8">
        <v>44027</v>
      </c>
      <c r="M1192" s="52">
        <v>7</v>
      </c>
      <c r="N1192" s="55" t="s">
        <v>2678</v>
      </c>
      <c r="O1192" s="52">
        <v>2020</v>
      </c>
      <c r="P1192" s="52">
        <v>0.15029999999999999</v>
      </c>
      <c r="Q1192" s="56"/>
      <c r="R1192" s="11">
        <f>ROUND(Таб[[#This Row],[Зелений Тариф ЕЦ]]+Таб[[#This Row],[Зелений Тариф ЕЦ]]*Таб[[#This Row],[% надбавки]],4)</f>
        <v>0.15029999999999999</v>
      </c>
      <c r="S1192" s="57"/>
      <c r="T1192" s="52"/>
      <c r="U1192" s="52"/>
      <c r="V1192" s="52"/>
      <c r="W1192" s="52"/>
      <c r="X1192" s="52"/>
      <c r="Y1192" s="52"/>
      <c r="Z1192" s="52"/>
      <c r="AA1192" s="52"/>
      <c r="AB1192" s="52"/>
      <c r="AC1192" s="52"/>
      <c r="AD1192" s="52"/>
      <c r="AE1192" s="52"/>
      <c r="AF1192" s="52"/>
      <c r="AG1192" s="52"/>
      <c r="AH1192" s="52"/>
      <c r="AI1192" s="52"/>
      <c r="AJ1192" s="52"/>
      <c r="AK1192" s="52"/>
      <c r="AL1192" s="52"/>
      <c r="AM1192" s="52"/>
      <c r="AN1192" s="52"/>
      <c r="AO1192" s="52"/>
      <c r="AP1192" s="52"/>
      <c r="AQ1192" s="52"/>
      <c r="AR1192" s="52"/>
      <c r="AS1192" s="52"/>
      <c r="AT1192" s="52"/>
      <c r="AU1192" s="52"/>
      <c r="AV1192" s="52"/>
      <c r="AW1192" s="52"/>
      <c r="AX1192" s="52"/>
      <c r="AY1192" s="52"/>
      <c r="AZ1192" s="52"/>
      <c r="BA1192" s="52"/>
      <c r="BB1192" s="52"/>
      <c r="BC1192" s="52"/>
      <c r="BD11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14.909005111338425</v>
      </c>
      <c r="BE11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25.70819649697065</v>
      </c>
      <c r="BF11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43.371651232984505</v>
      </c>
      <c r="BG11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61.647205885592896</v>
      </c>
      <c r="BH11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75.900389657722883</v>
      </c>
      <c r="BI11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78.698560705012198</v>
      </c>
      <c r="BJ11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79.966481960815173</v>
      </c>
      <c r="BK11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69.123569152569047</v>
      </c>
      <c r="BL11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48.530779101424194</v>
      </c>
      <c r="BM11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31.173374323707609</v>
      </c>
      <c r="BN11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14.428069462585572</v>
      </c>
      <c r="BO11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12.198276909276892</v>
      </c>
      <c r="BP1192">
        <f>SUM(Таб[[#This Row],[1]:[12]])</f>
        <v>555.65556000000004</v>
      </c>
    </row>
    <row r="1193" spans="2:68">
      <c r="B1193" s="52" t="s">
        <v>384</v>
      </c>
      <c r="C1193" t="str">
        <f>IFERROR(VLOOKUP(Таб[[#This Row],[Зелений Тариф ЕЦ]],Sheet6!$H$9:$I$29,2,FALSE),"")</f>
        <v>Земля</v>
      </c>
      <c r="E1193" s="52"/>
      <c r="F1193" s="52"/>
      <c r="G1193" t="s">
        <v>3348</v>
      </c>
      <c r="H1193" s="52" t="s">
        <v>176</v>
      </c>
      <c r="I1193" s="52"/>
      <c r="J1193" s="54">
        <v>0.65100000000000002</v>
      </c>
      <c r="K1193" s="8">
        <v>44001</v>
      </c>
      <c r="L1193" s="8">
        <v>44027</v>
      </c>
      <c r="M1193" s="52">
        <v>7</v>
      </c>
      <c r="N1193" s="55" t="s">
        <v>2678</v>
      </c>
      <c r="O1193" s="52">
        <v>2020</v>
      </c>
      <c r="P1193" s="52">
        <v>0.11260000000000001</v>
      </c>
      <c r="Q1193" s="56"/>
      <c r="R1193" s="11">
        <f>ROUND(Таб[[#This Row],[Зелений Тариф ЕЦ]]+Таб[[#This Row],[Зелений Тариф ЕЦ]]*Таб[[#This Row],[% надбавки]],4)</f>
        <v>0.11260000000000001</v>
      </c>
      <c r="S1193" s="57"/>
      <c r="T1193" s="52"/>
      <c r="U1193" s="52"/>
      <c r="V1193" s="52"/>
      <c r="W1193" s="52"/>
      <c r="X1193" s="52"/>
      <c r="Y1193" s="52"/>
      <c r="Z1193" s="52"/>
      <c r="AA1193" s="52"/>
      <c r="AB1193" s="52"/>
      <c r="AC1193" s="52"/>
      <c r="AD1193" s="52"/>
      <c r="AE1193" s="52"/>
      <c r="AF1193" s="52"/>
      <c r="AG1193" s="52"/>
      <c r="AH1193" s="52"/>
      <c r="AI1193" s="52"/>
      <c r="AJ1193" s="52"/>
      <c r="AK1193" s="52"/>
      <c r="AL1193" s="52"/>
      <c r="AM1193" s="52"/>
      <c r="AN1193" s="52"/>
      <c r="AO1193" s="52"/>
      <c r="AP1193" s="52"/>
      <c r="AQ1193" s="52"/>
      <c r="AR1193" s="52"/>
      <c r="AS1193" s="52"/>
      <c r="AT1193" s="52"/>
      <c r="AU1193" s="52"/>
      <c r="AV1193" s="52"/>
      <c r="AW1193" s="52"/>
      <c r="AX1193" s="52"/>
      <c r="AY1193" s="52"/>
      <c r="AZ1193" s="52"/>
      <c r="BA1193" s="52"/>
      <c r="BB1193" s="52"/>
      <c r="BC1193" s="52"/>
      <c r="BD11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20.962769605791177</v>
      </c>
      <c r="BE11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36.146945830513815</v>
      </c>
      <c r="BF11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60.982602489574319</v>
      </c>
      <c r="BG11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86.678900716028011</v>
      </c>
      <c r="BH11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106.71955435675505</v>
      </c>
      <c r="BI11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110.65391580769536</v>
      </c>
      <c r="BJ11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112.43667334015265</v>
      </c>
      <c r="BK11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97.191022717759068</v>
      </c>
      <c r="BL11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68.236581414745459</v>
      </c>
      <c r="BM11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43.831245539381534</v>
      </c>
      <c r="BN11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20.286551231410819</v>
      </c>
      <c r="BO11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17.151356950192778</v>
      </c>
      <c r="BP1193">
        <f>SUM(Таб[[#This Row],[1]:[12]])</f>
        <v>781.27812000000006</v>
      </c>
    </row>
    <row r="1194" spans="2:68">
      <c r="B1194" s="52" t="s">
        <v>384</v>
      </c>
      <c r="C1194" t="str">
        <f>IFERROR(VLOOKUP(Таб[[#This Row],[Зелений Тариф ЕЦ]],Sheet6!$H$9:$I$29,2,FALSE),"")</f>
        <v>Дах</v>
      </c>
      <c r="E1194" s="52"/>
      <c r="F1194" s="52"/>
      <c r="G1194" t="s">
        <v>3349</v>
      </c>
      <c r="H1194" s="52" t="s">
        <v>107</v>
      </c>
      <c r="I1194" s="52"/>
      <c r="J1194" s="54">
        <v>0.17100000000000001</v>
      </c>
      <c r="K1194" s="8">
        <v>43826</v>
      </c>
      <c r="L1194" s="8">
        <v>44027</v>
      </c>
      <c r="M1194" s="52">
        <v>7</v>
      </c>
      <c r="N1194" s="55" t="s">
        <v>2678</v>
      </c>
      <c r="O1194" s="52">
        <v>2020</v>
      </c>
      <c r="P1194">
        <v>0.16370000000000001</v>
      </c>
      <c r="Q1194" s="56"/>
      <c r="R1194" s="11">
        <f>ROUND(Таб[[#This Row],[Зелений Тариф ЕЦ]]+Таб[[#This Row],[Зелений Тариф ЕЦ]]*Таб[[#This Row],[% надбавки]],4)</f>
        <v>0.16370000000000001</v>
      </c>
      <c r="S1194" s="57"/>
      <c r="T1194" s="52"/>
      <c r="U1194" s="52"/>
      <c r="V1194" s="52"/>
      <c r="W1194" s="52"/>
      <c r="X1194" s="52"/>
      <c r="Y1194" s="52"/>
      <c r="Z1194" s="52"/>
      <c r="AA1194" s="52"/>
      <c r="AB1194" s="52"/>
      <c r="AC1194" s="52"/>
      <c r="AD1194" s="52"/>
      <c r="AE1194" s="52"/>
      <c r="AF1194" s="52"/>
      <c r="AG1194" s="52"/>
      <c r="AH1194" s="52"/>
      <c r="AI1194" s="52"/>
      <c r="AJ1194" s="52"/>
      <c r="AK1194" s="52"/>
      <c r="AL1194" s="52"/>
      <c r="AM1194" s="52"/>
      <c r="AN1194" s="52"/>
      <c r="AO1194" s="52"/>
      <c r="AP1194" s="52"/>
      <c r="AQ1194" s="52"/>
      <c r="AR1194" s="52"/>
      <c r="AS1194" s="52"/>
      <c r="AT1194" s="52"/>
      <c r="AU1194" s="52"/>
      <c r="AV1194" s="52"/>
      <c r="AW1194" s="52"/>
      <c r="AX1194" s="52"/>
      <c r="AY1194" s="52"/>
      <c r="AZ1194" s="52"/>
      <c r="BA1194" s="52"/>
      <c r="BB1194" s="52"/>
      <c r="BC1194" s="52"/>
      <c r="BD11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5.5063496199543644</v>
      </c>
      <c r="BE11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9.4948198725312771</v>
      </c>
      <c r="BF11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16.018471621685421</v>
      </c>
      <c r="BG11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22.768190510661739</v>
      </c>
      <c r="BH11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28.032325337949487</v>
      </c>
      <c r="BI11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29.06577511999371</v>
      </c>
      <c r="BJ11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29.534057052482495</v>
      </c>
      <c r="BK11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25.52943914706114</v>
      </c>
      <c r="BL11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17.923894657329456</v>
      </c>
      <c r="BM11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11.513276478086395</v>
      </c>
      <c r="BN11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5.3287254386655141</v>
      </c>
      <c r="BO11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4.5051951435990247</v>
      </c>
      <c r="BP1194">
        <f>SUM(Таб[[#This Row],[1]:[12]])</f>
        <v>205.22052000000002</v>
      </c>
    </row>
    <row r="1195" spans="2:68">
      <c r="B1195" s="52" t="s">
        <v>384</v>
      </c>
      <c r="C1195" t="str">
        <f>IFERROR(VLOOKUP(Таб[[#This Row],[Зелений Тариф ЕЦ]],Sheet6!$H$9:$I$29,2,FALSE),"")</f>
        <v>Дах</v>
      </c>
      <c r="E1195" s="52"/>
      <c r="F1195" s="52"/>
      <c r="G1195" t="s">
        <v>3350</v>
      </c>
      <c r="H1195" s="52" t="s">
        <v>176</v>
      </c>
      <c r="I1195" s="52"/>
      <c r="J1195" s="54">
        <v>0.222</v>
      </c>
      <c r="K1195" s="8">
        <v>43820</v>
      </c>
      <c r="L1195" s="8">
        <v>44027</v>
      </c>
      <c r="M1195" s="52">
        <v>7</v>
      </c>
      <c r="N1195" s="55" t="s">
        <v>2678</v>
      </c>
      <c r="O1195" s="52">
        <v>2020</v>
      </c>
      <c r="P1195">
        <v>0.16370000000000001</v>
      </c>
      <c r="Q1195" s="56"/>
      <c r="R1195" s="11">
        <f>ROUND(Таб[[#This Row],[Зелений Тариф ЕЦ]]+Таб[[#This Row],[Зелений Тариф ЕЦ]]*Таб[[#This Row],[% надбавки]],4)</f>
        <v>0.16370000000000001</v>
      </c>
      <c r="S1195" s="57"/>
      <c r="T1195" s="52"/>
      <c r="U1195" s="52"/>
      <c r="V1195" s="52"/>
      <c r="W1195" s="52"/>
      <c r="X1195" s="52"/>
      <c r="Y1195" s="52"/>
      <c r="Z1195" s="52"/>
      <c r="AA1195" s="52"/>
      <c r="AB1195" s="52"/>
      <c r="AC1195" s="52"/>
      <c r="AD1195" s="52"/>
      <c r="AE1195" s="52"/>
      <c r="AF1195" s="52"/>
      <c r="AG1195" s="52"/>
      <c r="AH1195" s="52"/>
      <c r="AI1195" s="52"/>
      <c r="AJ1195" s="52"/>
      <c r="AK1195" s="52"/>
      <c r="AL1195" s="52"/>
      <c r="AM1195" s="52"/>
      <c r="AN1195" s="52"/>
      <c r="AO1195" s="52"/>
      <c r="AP1195" s="52"/>
      <c r="AQ1195" s="52"/>
      <c r="AR1195" s="52"/>
      <c r="AS1195" s="52"/>
      <c r="AT1195" s="52"/>
      <c r="AU1195" s="52"/>
      <c r="AV1195" s="52"/>
      <c r="AW1195" s="52"/>
      <c r="AX1195" s="52"/>
      <c r="AY1195" s="52"/>
      <c r="AZ1195" s="52"/>
      <c r="BA1195" s="52"/>
      <c r="BB1195" s="52"/>
      <c r="BC1195" s="52"/>
      <c r="BD11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7.1485942434495247</v>
      </c>
      <c r="BE11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12.326608255566921</v>
      </c>
      <c r="BF11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20.795910526398615</v>
      </c>
      <c r="BG11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29.5587034699819</v>
      </c>
      <c r="BH11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36.392843421197576</v>
      </c>
      <c r="BI11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37.734515068062009</v>
      </c>
      <c r="BJ11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38.342460033047445</v>
      </c>
      <c r="BK11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33.143482401447798</v>
      </c>
      <c r="BL11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23.269617625304907</v>
      </c>
      <c r="BM11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14.947060690849003</v>
      </c>
      <c r="BN11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6.9179944291447022</v>
      </c>
      <c r="BO11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5.8488498355496104</v>
      </c>
      <c r="BP1195">
        <f>SUM(Таб[[#This Row],[1]:[12]])</f>
        <v>266.42664000000008</v>
      </c>
    </row>
    <row r="1196" spans="2:68">
      <c r="B1196" s="52" t="s">
        <v>384</v>
      </c>
      <c r="C1196" t="str">
        <f>IFERROR(VLOOKUP(Таб[[#This Row],[Зелений Тариф ЕЦ]],Sheet6!$H$9:$I$29,2,FALSE),"")</f>
        <v>Дах</v>
      </c>
      <c r="E1196" s="52"/>
      <c r="F1196" s="52"/>
      <c r="G1196" t="s">
        <v>3351</v>
      </c>
      <c r="H1196" s="52" t="s">
        <v>107</v>
      </c>
      <c r="I1196" s="52"/>
      <c r="J1196" s="54">
        <v>0.499</v>
      </c>
      <c r="K1196" s="8">
        <v>43994</v>
      </c>
      <c r="L1196" s="8">
        <v>44027</v>
      </c>
      <c r="M1196" s="52">
        <v>7</v>
      </c>
      <c r="N1196" s="55" t="s">
        <v>2678</v>
      </c>
      <c r="O1196" s="52">
        <v>2020</v>
      </c>
      <c r="P1196" s="52">
        <v>0.12280000000000001</v>
      </c>
      <c r="Q1196" s="56"/>
      <c r="R1196" s="11">
        <f>ROUND(Таб[[#This Row],[Зелений Тариф ЕЦ]]+Таб[[#This Row],[Зелений Тариф ЕЦ]]*Таб[[#This Row],[% надбавки]],4)</f>
        <v>0.12280000000000001</v>
      </c>
      <c r="S1196" s="57"/>
      <c r="T1196" s="52"/>
      <c r="U1196" s="52"/>
      <c r="V1196" s="52"/>
      <c r="W1196" s="52"/>
      <c r="X1196" s="52"/>
      <c r="Y1196" s="52"/>
      <c r="Z1196" s="52"/>
      <c r="AA1196" s="52"/>
      <c r="AB1196" s="52"/>
      <c r="AC1196" s="52"/>
      <c r="AD1196" s="52"/>
      <c r="AE1196" s="52"/>
      <c r="AF1196" s="52"/>
      <c r="AG1196" s="52"/>
      <c r="AH1196" s="52"/>
      <c r="AI1196" s="52"/>
      <c r="AJ1196" s="52"/>
      <c r="AK1196" s="52"/>
      <c r="AL1196" s="52"/>
      <c r="AM1196" s="52"/>
      <c r="AN1196" s="52"/>
      <c r="AO1196" s="52"/>
      <c r="AP1196" s="52"/>
      <c r="AQ1196" s="52"/>
      <c r="AR1196" s="52"/>
      <c r="AS1196" s="52"/>
      <c r="AT1196" s="52"/>
      <c r="AU1196" s="52"/>
      <c r="AV1196" s="52"/>
      <c r="AW1196" s="52"/>
      <c r="AX1196" s="52"/>
      <c r="AY1196" s="52"/>
      <c r="AZ1196" s="52"/>
      <c r="BA1196" s="52"/>
      <c r="BB1196" s="52"/>
      <c r="BC1196" s="52"/>
      <c r="BD11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16.068236610276184</v>
      </c>
      <c r="BE11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27.707105943819343</v>
      </c>
      <c r="BF11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46.743961048076166</v>
      </c>
      <c r="BG11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66.440509150995354</v>
      </c>
      <c r="BH11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81.801931834133285</v>
      </c>
      <c r="BI11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84.817671256589819</v>
      </c>
      <c r="BJ11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86.184178182390426</v>
      </c>
      <c r="BK11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74.498187920371393</v>
      </c>
      <c r="BL11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52.304230608230398</v>
      </c>
      <c r="BM11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33.597222003304744</v>
      </c>
      <c r="BN11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15.54990639704147</v>
      </c>
      <c r="BO11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13.146739044771422</v>
      </c>
      <c r="BP1196">
        <f>SUM(Таб[[#This Row],[1]:[12]])</f>
        <v>598.85987999999998</v>
      </c>
    </row>
    <row r="1197" spans="2:68">
      <c r="B1197" s="52" t="s">
        <v>384</v>
      </c>
      <c r="C1197" t="str">
        <f>IFERROR(VLOOKUP(Таб[[#This Row],[Зелений Тариф ЕЦ]],Sheet6!$H$9:$I$29,2,FALSE),"")</f>
        <v>Земля</v>
      </c>
      <c r="E1197" s="52"/>
      <c r="F1197" s="52"/>
      <c r="G1197" t="s">
        <v>2168</v>
      </c>
      <c r="H1197" s="52" t="s">
        <v>107</v>
      </c>
      <c r="I1197" s="52"/>
      <c r="J1197" s="54">
        <v>3.198</v>
      </c>
      <c r="K1197" s="8">
        <v>44007</v>
      </c>
      <c r="L1197" s="8">
        <v>44027</v>
      </c>
      <c r="M1197" s="52">
        <v>7</v>
      </c>
      <c r="N1197" s="55" t="s">
        <v>2678</v>
      </c>
      <c r="O1197" s="52">
        <v>2020</v>
      </c>
      <c r="P1197" s="52">
        <v>0.11260000000000001</v>
      </c>
      <c r="Q1197" s="56"/>
      <c r="R1197" s="11">
        <f>ROUND(Таб[[#This Row],[Зелений Тариф ЕЦ]]+Таб[[#This Row],[Зелений Тариф ЕЦ]]*Таб[[#This Row],[% надбавки]],4)</f>
        <v>0.11260000000000001</v>
      </c>
      <c r="S1197" s="57"/>
      <c r="T1197" s="52"/>
      <c r="U1197" s="52"/>
      <c r="V1197" s="52"/>
      <c r="W1197" s="52"/>
      <c r="X1197" s="52"/>
      <c r="Y1197" s="52"/>
      <c r="Z1197" s="52"/>
      <c r="AA1197" s="52"/>
      <c r="AB1197" s="52"/>
      <c r="AC1197" s="52"/>
      <c r="AD1197" s="52"/>
      <c r="AE1197" s="52"/>
      <c r="AF1197" s="52"/>
      <c r="AG1197" s="52"/>
      <c r="AH1197" s="52"/>
      <c r="AI1197" s="52"/>
      <c r="AJ1197" s="52"/>
      <c r="AK1197" s="52"/>
      <c r="AL1197" s="52"/>
      <c r="AM1197" s="52"/>
      <c r="AN1197" s="52"/>
      <c r="AO1197" s="52"/>
      <c r="AP1197" s="52"/>
      <c r="AQ1197" s="52"/>
      <c r="AR1197" s="52"/>
      <c r="AS1197" s="52"/>
      <c r="AT1197" s="52"/>
      <c r="AU1197" s="52"/>
      <c r="AV1197" s="52"/>
      <c r="AW1197" s="52"/>
      <c r="AX1197" s="52"/>
      <c r="AY1197" s="52"/>
      <c r="AZ1197" s="52"/>
      <c r="BA1197" s="52"/>
      <c r="BB1197" s="52"/>
      <c r="BC1197" s="52"/>
      <c r="BD11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102.97839815563776</v>
      </c>
      <c r="BE11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177.56978919505863</v>
      </c>
      <c r="BF11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299.57352190730978</v>
      </c>
      <c r="BG11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425.80510674325279</v>
      </c>
      <c r="BH11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524.25366333779209</v>
      </c>
      <c r="BI11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543.58098733181214</v>
      </c>
      <c r="BJ11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552.33868101660244</v>
      </c>
      <c r="BK11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477.44530053977496</v>
      </c>
      <c r="BL11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335.20827552128418</v>
      </c>
      <c r="BM11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215.31846887087889</v>
      </c>
      <c r="BN11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99.656514344165572</v>
      </c>
      <c r="BO11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84.25505303643088</v>
      </c>
      <c r="BP1197">
        <f>SUM(Таб[[#This Row],[1]:[12]])</f>
        <v>3837.9837600000005</v>
      </c>
    </row>
    <row r="1198" spans="2:68">
      <c r="B1198" s="52" t="s">
        <v>384</v>
      </c>
      <c r="C1198" t="str">
        <f>IFERROR(VLOOKUP(Таб[[#This Row],[Зелений Тариф ЕЦ]],Sheet6!$H$9:$I$29,2,FALSE),"")</f>
        <v>Земля</v>
      </c>
      <c r="D1198" t="s">
        <v>3362</v>
      </c>
      <c r="F1198" t="s">
        <v>3287</v>
      </c>
      <c r="G1198" t="s">
        <v>3353</v>
      </c>
      <c r="H1198" s="52" t="s">
        <v>73</v>
      </c>
      <c r="I1198" s="52"/>
      <c r="J1198" s="54">
        <v>6.7469999999999999</v>
      </c>
      <c r="K1198" s="8">
        <v>43998</v>
      </c>
      <c r="L1198" s="8">
        <v>44027</v>
      </c>
      <c r="M1198" s="52">
        <v>7</v>
      </c>
      <c r="N1198" s="55" t="s">
        <v>2678</v>
      </c>
      <c r="O1198" s="52">
        <v>2020</v>
      </c>
      <c r="P1198" s="52">
        <v>0.11260000000000001</v>
      </c>
      <c r="Q1198" s="56"/>
      <c r="R1198" s="11">
        <f>ROUND(Таб[[#This Row],[Зелений Тариф ЕЦ]]+Таб[[#This Row],[Зелений Тариф ЕЦ]]*Таб[[#This Row],[% надбавки]],4)</f>
        <v>0.11260000000000001</v>
      </c>
      <c r="S1198" s="57"/>
      <c r="T1198" s="52"/>
      <c r="U1198" s="52"/>
      <c r="V1198" s="52"/>
      <c r="W1198" s="52"/>
      <c r="X1198" s="52"/>
      <c r="Y1198" s="52"/>
      <c r="Z1198" s="52"/>
      <c r="AA1198" s="52"/>
      <c r="AB1198" s="52"/>
      <c r="AC1198" s="52"/>
      <c r="AD1198" s="52"/>
      <c r="AE1198" s="52"/>
      <c r="AF1198" s="52"/>
      <c r="AG1198" s="52"/>
      <c r="AH1198" s="52"/>
      <c r="AI1198" s="52"/>
      <c r="AJ1198" s="52"/>
      <c r="AK1198" s="52"/>
      <c r="AL1198" s="52"/>
      <c r="AM1198" s="52"/>
      <c r="AN1198" s="52"/>
      <c r="AO1198" s="52"/>
      <c r="AP1198" s="52"/>
      <c r="AQ1198" s="52"/>
      <c r="AR1198" s="52"/>
      <c r="AS1198" s="52"/>
      <c r="AT1198" s="52"/>
      <c r="AU1198" s="52"/>
      <c r="AV1198" s="52"/>
      <c r="AW1198" s="52"/>
      <c r="AX1198" s="52"/>
      <c r="AY1198" s="52"/>
      <c r="AZ1198" s="52"/>
      <c r="BA1198" s="52"/>
      <c r="BB1198" s="52"/>
      <c r="BC1198" s="52"/>
      <c r="BD11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217.25930342591869</v>
      </c>
      <c r="BE11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374.62894549689196</v>
      </c>
      <c r="BF11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632.02706451176323</v>
      </c>
      <c r="BG11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898.34492032417972</v>
      </c>
      <c r="BH11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1106.0473628955858</v>
      </c>
      <c r="BI11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1146.8233025415061</v>
      </c>
      <c r="BJ11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1165.2999001935636</v>
      </c>
      <c r="BK11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1007.2931340656228</v>
      </c>
      <c r="BL11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707.20770323392878</v>
      </c>
      <c r="BM11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454.26945261782981</v>
      </c>
      <c r="BN11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210.25093879927613</v>
      </c>
      <c r="BO11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177.75761189393342</v>
      </c>
      <c r="BP1198">
        <f>SUM(Таб[[#This Row],[1]:[12]])</f>
        <v>8097.20964</v>
      </c>
    </row>
    <row r="1199" spans="2:68">
      <c r="B1199" s="52" t="s">
        <v>384</v>
      </c>
      <c r="C1199" t="str">
        <f>IFERROR(VLOOKUP(Таб[[#This Row],[Зелений Тариф ЕЦ]],Sheet6!$H$9:$I$29,2,FALSE),"")</f>
        <v>Земля</v>
      </c>
      <c r="E1199" s="52"/>
      <c r="F1199" s="52"/>
      <c r="G1199" t="s">
        <v>3466</v>
      </c>
      <c r="H1199" s="52" t="s">
        <v>122</v>
      </c>
      <c r="I1199" s="52"/>
      <c r="J1199" s="54">
        <v>14.784000000000001</v>
      </c>
      <c r="K1199" s="8">
        <v>43826</v>
      </c>
      <c r="L1199" s="8">
        <v>44034</v>
      </c>
      <c r="M1199" s="52">
        <v>7</v>
      </c>
      <c r="N1199" s="55" t="s">
        <v>2678</v>
      </c>
      <c r="O1199" s="52">
        <v>2020</v>
      </c>
      <c r="P1199" s="52">
        <v>0.15029999999999999</v>
      </c>
      <c r="Q1199" s="56"/>
      <c r="R1199" s="11">
        <f>ROUND(Таб[[#This Row],[Зелений Тариф ЕЦ]]+Таб[[#This Row],[Зелений Тариф ЕЦ]]*Таб[[#This Row],[% надбавки]],4)</f>
        <v>0.15029999999999999</v>
      </c>
      <c r="S1199" s="57"/>
      <c r="T1199" s="52"/>
      <c r="U1199" s="52"/>
      <c r="V1199" s="52"/>
      <c r="W1199" s="52"/>
      <c r="X1199" s="52"/>
      <c r="Y1199" s="52"/>
      <c r="Z1199" s="52"/>
      <c r="AA1199" s="52"/>
      <c r="AB1199" s="52"/>
      <c r="AC1199" s="52"/>
      <c r="AD1199" s="52"/>
      <c r="AE1199" s="52"/>
      <c r="AF1199" s="52"/>
      <c r="AG1199" s="52"/>
      <c r="AH1199" s="52"/>
      <c r="AI1199" s="52"/>
      <c r="AJ1199" s="52"/>
      <c r="AK1199" s="52"/>
      <c r="AL1199" s="52"/>
      <c r="AM1199" s="52"/>
      <c r="AN1199" s="52"/>
      <c r="AO1199" s="52"/>
      <c r="AP1199" s="52"/>
      <c r="AQ1199" s="52"/>
      <c r="AR1199" s="52"/>
      <c r="AS1199" s="52"/>
      <c r="AT1199" s="52"/>
      <c r="AU1199" s="52"/>
      <c r="AV1199" s="52"/>
      <c r="AW1199" s="52"/>
      <c r="AX1199" s="52"/>
      <c r="AY1199" s="52"/>
      <c r="AZ1199" s="52"/>
      <c r="BA1199" s="52"/>
      <c r="BB1199" s="52"/>
      <c r="BC1199" s="52"/>
      <c r="BD11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476.0577355637738</v>
      </c>
      <c r="BE11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820.88547950586212</v>
      </c>
      <c r="BF11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1384.8952307309783</v>
      </c>
      <c r="BG11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1968.4498743252811</v>
      </c>
      <c r="BH11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2423.5666537792117</v>
      </c>
      <c r="BI11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2512.9147331812101</v>
      </c>
      <c r="BJ11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2553.4005816602407</v>
      </c>
      <c r="BK11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2207.1767739774964</v>
      </c>
      <c r="BL11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1549.630752128413</v>
      </c>
      <c r="BM11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995.39344708789054</v>
      </c>
      <c r="BN11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460.70103441655533</v>
      </c>
      <c r="BO11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389.50178364308761</v>
      </c>
      <c r="BP1199">
        <f>SUM(Таб[[#This Row],[1]:[12]])</f>
        <v>17742.574080000002</v>
      </c>
    </row>
    <row r="1200" spans="2:68">
      <c r="B1200" s="52" t="s">
        <v>384</v>
      </c>
      <c r="C1200" t="str">
        <f>IFERROR(VLOOKUP(Таб[[#This Row],[Зелений Тариф ЕЦ]],Sheet6!$H$9:$I$29,2,FALSE),"")</f>
        <v>Земля</v>
      </c>
      <c r="E1200" s="52"/>
      <c r="F1200" s="52"/>
      <c r="G1200" t="s">
        <v>3467</v>
      </c>
      <c r="H1200" s="52" t="s">
        <v>172</v>
      </c>
      <c r="I1200" s="52"/>
      <c r="J1200" s="54">
        <v>1.2390000000000001</v>
      </c>
      <c r="K1200" s="8">
        <v>44006</v>
      </c>
      <c r="L1200" s="8">
        <v>44034</v>
      </c>
      <c r="M1200" s="52">
        <v>7</v>
      </c>
      <c r="N1200" s="55" t="s">
        <v>2678</v>
      </c>
      <c r="O1200" s="52">
        <v>2020</v>
      </c>
      <c r="P1200" s="52">
        <v>0.11260000000000001</v>
      </c>
      <c r="Q1200" s="56"/>
      <c r="R1200" s="11">
        <f>ROUND(Таб[[#This Row],[Зелений Тариф ЕЦ]]+Таб[[#This Row],[Зелений Тариф ЕЦ]]*Таб[[#This Row],[% надбавки]],4)</f>
        <v>0.11260000000000001</v>
      </c>
      <c r="S1200" s="57"/>
      <c r="T1200" s="52"/>
      <c r="U1200" s="52"/>
      <c r="V1200" s="52"/>
      <c r="W1200" s="52"/>
      <c r="X1200" s="52"/>
      <c r="Y1200" s="52"/>
      <c r="Z1200" s="52"/>
      <c r="AA1200" s="52"/>
      <c r="AB1200" s="52"/>
      <c r="AC1200" s="52"/>
      <c r="AD1200" s="52"/>
      <c r="AE1200" s="52"/>
      <c r="AF1200" s="52"/>
      <c r="AG1200" s="52"/>
      <c r="AH1200" s="52"/>
      <c r="AI1200" s="52"/>
      <c r="AJ1200" s="52"/>
      <c r="AK1200" s="52"/>
      <c r="AL1200" s="52"/>
      <c r="AM1200" s="52"/>
      <c r="AN1200" s="52"/>
      <c r="AO1200" s="52"/>
      <c r="AP1200" s="52"/>
      <c r="AQ1200" s="52"/>
      <c r="AR1200" s="52"/>
      <c r="AS1200" s="52"/>
      <c r="AT1200" s="52"/>
      <c r="AU1200" s="52"/>
      <c r="AV1200" s="52"/>
      <c r="AW1200" s="52"/>
      <c r="AX1200" s="52"/>
      <c r="AY1200" s="52"/>
      <c r="AZ1200" s="52"/>
      <c r="BA1200" s="52"/>
      <c r="BB1200" s="52"/>
      <c r="BC1200" s="52"/>
      <c r="BD12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39.896884088441276</v>
      </c>
      <c r="BE12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68.795800129042419</v>
      </c>
      <c r="BF12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116.06366280273821</v>
      </c>
      <c r="BG12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164.96952071760171</v>
      </c>
      <c r="BH12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203.11140990479191</v>
      </c>
      <c r="BI12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210.59938815012987</v>
      </c>
      <c r="BJ12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213.99237829254861</v>
      </c>
      <c r="BK12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184.97646259186405</v>
      </c>
      <c r="BL12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129.86962269258009</v>
      </c>
      <c r="BM12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83.420757639468093</v>
      </c>
      <c r="BN12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38.609887827523806</v>
      </c>
      <c r="BO12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32.642905163270129</v>
      </c>
      <c r="BP1200">
        <f>SUM(Таб[[#This Row],[1]:[12]])</f>
        <v>1486.9486800000002</v>
      </c>
    </row>
    <row r="1201" spans="2:68">
      <c r="B1201" s="52" t="s">
        <v>384</v>
      </c>
      <c r="C1201" t="str">
        <f>IFERROR(VLOOKUP(Таб[[#This Row],[Зелений Тариф ЕЦ]],Sheet6!$H$9:$I$29,2,FALSE),"")</f>
        <v/>
      </c>
      <c r="E1201" s="52"/>
      <c r="F1201" s="52"/>
      <c r="G1201" s="153" t="s">
        <v>3469</v>
      </c>
      <c r="H1201" s="154"/>
      <c r="I1201" s="154"/>
      <c r="J1201" s="54"/>
      <c r="K1201" s="8">
        <v>43809</v>
      </c>
      <c r="L1201" s="8">
        <v>44041</v>
      </c>
      <c r="M1201" s="52">
        <v>7</v>
      </c>
      <c r="N1201" s="55" t="s">
        <v>2678</v>
      </c>
      <c r="O1201" s="52">
        <v>2020</v>
      </c>
      <c r="P1201" s="52"/>
      <c r="Q1201" s="56"/>
      <c r="R1201" s="11">
        <f>ROUND(Таб[[#This Row],[Зелений Тариф ЕЦ]]+Таб[[#This Row],[Зелений Тариф ЕЦ]]*Таб[[#This Row],[% надбавки]],4)</f>
        <v>0</v>
      </c>
      <c r="S1201" s="57"/>
      <c r="T1201" s="52"/>
      <c r="U1201" s="52"/>
      <c r="V1201" s="52"/>
      <c r="W1201" s="52"/>
      <c r="X1201" s="52"/>
      <c r="Y1201" s="52"/>
      <c r="Z1201" s="52"/>
      <c r="AA1201" s="52"/>
      <c r="AB1201" s="52"/>
      <c r="AC1201" s="52"/>
      <c r="AD1201" s="52"/>
      <c r="AE1201" s="52"/>
      <c r="AF1201" s="52"/>
      <c r="AG1201" s="52"/>
      <c r="AH1201" s="52"/>
      <c r="AI1201" s="52"/>
      <c r="AJ1201" s="52"/>
      <c r="AK1201" s="52"/>
      <c r="AL1201" s="52"/>
      <c r="AM1201" s="52"/>
      <c r="AN1201" s="52"/>
      <c r="AO1201" s="52"/>
      <c r="AP1201" s="52"/>
      <c r="AQ1201" s="52"/>
      <c r="AR1201" s="52"/>
      <c r="AS1201" s="52"/>
      <c r="AT1201" s="52"/>
      <c r="AU1201" s="52"/>
      <c r="AV1201" s="52"/>
      <c r="AW1201" s="52"/>
      <c r="AX1201" s="52"/>
      <c r="AY1201" s="52"/>
      <c r="AZ1201" s="52"/>
      <c r="BA1201" s="52"/>
      <c r="BB1201" s="52"/>
      <c r="BC1201" s="52"/>
      <c r="BD12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2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2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2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2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2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2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2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2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2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2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2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201">
        <f>SUM(Таб[[#This Row],[1]:[12]])</f>
        <v>0</v>
      </c>
    </row>
    <row r="1202" spans="2:68">
      <c r="B1202" s="52" t="s">
        <v>384</v>
      </c>
      <c r="C1202" t="str">
        <f>IFERROR(VLOOKUP(Таб[[#This Row],[Зелений Тариф ЕЦ]],Sheet6!$H$9:$I$29,2,FALSE),"")</f>
        <v/>
      </c>
      <c r="E1202" s="52"/>
      <c r="F1202" s="52"/>
      <c r="G1202" s="153" t="s">
        <v>3469</v>
      </c>
      <c r="H1202" s="154"/>
      <c r="I1202" s="154"/>
      <c r="J1202" s="54"/>
      <c r="K1202" s="8">
        <v>43802</v>
      </c>
      <c r="L1202" s="8">
        <v>44041</v>
      </c>
      <c r="M1202" s="52">
        <v>7</v>
      </c>
      <c r="N1202" s="55" t="s">
        <v>2678</v>
      </c>
      <c r="O1202" s="52">
        <v>2020</v>
      </c>
      <c r="P1202" s="52"/>
      <c r="Q1202" s="56"/>
      <c r="R1202" s="11">
        <f>ROUND(Таб[[#This Row],[Зелений Тариф ЕЦ]]+Таб[[#This Row],[Зелений Тариф ЕЦ]]*Таб[[#This Row],[% надбавки]],4)</f>
        <v>0</v>
      </c>
      <c r="S1202" s="57"/>
      <c r="T1202" s="52"/>
      <c r="U1202" s="52"/>
      <c r="V1202" s="52"/>
      <c r="W1202" s="52"/>
      <c r="X1202" s="52"/>
      <c r="Y1202" s="52"/>
      <c r="Z1202" s="52"/>
      <c r="AA1202" s="52"/>
      <c r="AB1202" s="52"/>
      <c r="AC1202" s="52"/>
      <c r="AD1202" s="52"/>
      <c r="AE1202" s="52"/>
      <c r="AF1202" s="52"/>
      <c r="AG1202" s="52"/>
      <c r="AH1202" s="52"/>
      <c r="AI1202" s="52"/>
      <c r="AJ1202" s="52"/>
      <c r="AK1202" s="52"/>
      <c r="AL1202" s="52"/>
      <c r="AM1202" s="52"/>
      <c r="AN1202" s="52"/>
      <c r="AO1202" s="52"/>
      <c r="AP1202" s="52"/>
      <c r="AQ1202" s="52"/>
      <c r="AR1202" s="52"/>
      <c r="AS1202" s="52"/>
      <c r="AT1202" s="52"/>
      <c r="AU1202" s="52"/>
      <c r="AV1202" s="52"/>
      <c r="AW1202" s="52"/>
      <c r="AX1202" s="52"/>
      <c r="AY1202" s="52"/>
      <c r="AZ1202" s="52"/>
      <c r="BA1202" s="52"/>
      <c r="BB1202" s="52"/>
      <c r="BC1202" s="52"/>
      <c r="BD12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2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2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2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2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2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2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2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2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2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2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2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202">
        <f>SUM(Таб[[#This Row],[1]:[12]])</f>
        <v>0</v>
      </c>
    </row>
    <row r="1203" spans="2:68">
      <c r="B1203" s="52"/>
      <c r="E1203" s="52"/>
      <c r="F1203" s="52"/>
      <c r="G1203" s="1"/>
      <c r="H1203" s="52"/>
      <c r="I1203" s="52"/>
      <c r="J1203" s="54"/>
      <c r="K1203" s="8"/>
      <c r="L1203" s="136"/>
      <c r="M1203" s="52"/>
      <c r="N1203" s="55"/>
      <c r="O1203" s="52"/>
      <c r="P1203" s="52"/>
      <c r="Q1203" s="56"/>
      <c r="R1203" s="11">
        <f>ROUND(Таб[[#This Row],[Зелений Тариф ЕЦ]]+Таб[[#This Row],[Зелений Тариф ЕЦ]]*Таб[[#This Row],[% надбавки]],4)</f>
        <v>0</v>
      </c>
      <c r="S1203" s="152"/>
      <c r="T1203" s="52"/>
      <c r="U1203" s="52"/>
      <c r="V1203" s="52"/>
      <c r="W1203" s="52"/>
      <c r="X1203" s="52"/>
      <c r="Y1203" s="52"/>
      <c r="Z1203" s="52"/>
      <c r="AA1203" s="52"/>
      <c r="AB1203" s="52"/>
      <c r="AC1203" s="52"/>
      <c r="AD1203" s="52"/>
      <c r="AE1203" s="52"/>
      <c r="AF1203" s="52"/>
      <c r="AG1203" s="52"/>
      <c r="AH1203" s="52"/>
      <c r="AI1203" s="52"/>
      <c r="AJ1203" s="52"/>
      <c r="AK1203" s="52"/>
      <c r="AL1203" s="52"/>
      <c r="AM1203" s="52"/>
      <c r="AN1203" s="52"/>
      <c r="AO1203" s="52"/>
      <c r="AP1203" s="52"/>
      <c r="AQ1203" s="52"/>
      <c r="AR1203" s="52"/>
      <c r="AS1203" s="52"/>
      <c r="AT1203" s="52"/>
      <c r="AU1203" s="52"/>
      <c r="AV1203" s="52"/>
      <c r="AW1203" s="52"/>
      <c r="AX1203" s="52"/>
      <c r="AY1203" s="52"/>
      <c r="AZ1203" s="52"/>
      <c r="BA1203" s="52"/>
      <c r="BB1203" s="52"/>
      <c r="BC1203" s="52"/>
      <c r="BD12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2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2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2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2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2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2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2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2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2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2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2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203">
        <f>SUM(Таб[[#This Row],[1]:[12]])</f>
        <v>0</v>
      </c>
    </row>
    <row r="1204" spans="2:68" ht="25.5">
      <c r="B1204" t="s">
        <v>2715</v>
      </c>
      <c r="C1204" t="str">
        <f>IF(Таб[[#This Row],[Потужність, МВт]]&lt;0.2,"Мікро",IF(Таб[[#This Row],[Потужність, МВт]]&lt;1,"Міні","Мала"))</f>
        <v>Мікро</v>
      </c>
      <c r="G1204" s="1" t="s">
        <v>2716</v>
      </c>
      <c r="H1204" t="s">
        <v>136</v>
      </c>
      <c r="I1204" t="s">
        <v>2718</v>
      </c>
      <c r="J1204" s="22">
        <v>0.13200000000000001</v>
      </c>
      <c r="K1204" s="12"/>
      <c r="L1204" s="12">
        <v>42180</v>
      </c>
      <c r="M1204">
        <v>6</v>
      </c>
      <c r="N1204" s="49" t="s">
        <v>57</v>
      </c>
      <c r="O1204">
        <v>2015</v>
      </c>
      <c r="P1204">
        <v>0.17449999999999999</v>
      </c>
      <c r="Q1204" s="10"/>
      <c r="R1204" s="11">
        <f>ROUND(Таб[[#This Row],[Зелений Тариф ЕЦ]]+Таб[[#This Row],[Зелений Тариф ЕЦ]]*Таб[[#This Row],[% надбавки]],4)</f>
        <v>0.17449999999999999</v>
      </c>
      <c r="S1204" s="12"/>
      <c r="T1204">
        <v>2.4E-2</v>
      </c>
      <c r="U1204">
        <v>3.4999999999999996E-2</v>
      </c>
      <c r="V1204">
        <v>8.0000000000000016E-2</v>
      </c>
      <c r="W1204">
        <v>3.2999999999999974E-2</v>
      </c>
      <c r="X1204">
        <v>1.2000000000000011E-2</v>
      </c>
      <c r="Y1204">
        <v>9.000000000000008E-3</v>
      </c>
      <c r="Z1204">
        <v>2.0000000000000018E-3</v>
      </c>
      <c r="AA1204">
        <v>3.0000000000000027E-3</v>
      </c>
      <c r="AB1204">
        <v>3.0000000000000027E-3</v>
      </c>
      <c r="AC1204">
        <v>1.5999999999999986E-2</v>
      </c>
      <c r="AD1204">
        <v>2.7999999999999997E-2</v>
      </c>
      <c r="AE1204">
        <v>4.0999999999999981E-2</v>
      </c>
      <c r="AF1204">
        <v>3.3000000000000002E-2</v>
      </c>
      <c r="AG1204">
        <v>4.2000000000000003E-2</v>
      </c>
      <c r="AH1204">
        <v>6.3E-2</v>
      </c>
      <c r="AI1204">
        <v>4.7E-2</v>
      </c>
      <c r="AJ1204">
        <v>1.7000000000000001E-2</v>
      </c>
      <c r="AK1204">
        <v>6.0000000000000001E-3</v>
      </c>
      <c r="AL1204">
        <v>1.2E-2</v>
      </c>
      <c r="AM1204">
        <v>4.0000000000000001E-3</v>
      </c>
      <c r="AN1204">
        <v>0.01</v>
      </c>
      <c r="AO1204">
        <v>3.9E-2</v>
      </c>
      <c r="AP1204">
        <v>4.3999999999999997E-2</v>
      </c>
      <c r="AQ1204">
        <v>3.4000000000000002E-2</v>
      </c>
      <c r="AR1204">
        <v>3.2000000000000001E-2</v>
      </c>
      <c r="AS1204">
        <v>5.3999999999999999E-2</v>
      </c>
      <c r="AT1204">
        <v>5.0999999999999997E-2</v>
      </c>
      <c r="AU1204">
        <v>2.5000000000000001E-2</v>
      </c>
      <c r="AV1204">
        <v>2.1000000000000001E-2</v>
      </c>
      <c r="AW1204">
        <v>0.04</v>
      </c>
      <c r="AX1204">
        <v>2E-3</v>
      </c>
      <c r="AY1204">
        <v>4.0000000000000001E-3</v>
      </c>
      <c r="BD12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32.408639999999998</v>
      </c>
      <c r="BE12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29.272320000000001</v>
      </c>
      <c r="BF12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32.408639999999998</v>
      </c>
      <c r="BG12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31.363199999999999</v>
      </c>
      <c r="BH12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32.408639999999998</v>
      </c>
      <c r="BI12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31.363199999999999</v>
      </c>
      <c r="BJ12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32.408639999999998</v>
      </c>
      <c r="BK12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32.408639999999998</v>
      </c>
      <c r="BL12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31.363199999999999</v>
      </c>
      <c r="BM12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32.408639999999998</v>
      </c>
      <c r="BN12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31.363199999999999</v>
      </c>
      <c r="BO12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32.408639999999998</v>
      </c>
      <c r="BP1204">
        <f>SUM(Таб[[#This Row],[1]:[12]])</f>
        <v>381.58559999999994</v>
      </c>
    </row>
    <row r="1205" spans="2:68" ht="38.25">
      <c r="B1205" t="s">
        <v>2715</v>
      </c>
      <c r="C1205" t="str">
        <f>IF(Таб[[#This Row],[Потужність, МВт]]&lt;0.2,"Мікро",IF(Таб[[#This Row],[Потужність, МВт]]&lt;1,"Міні","Мала"))</f>
        <v>Міні</v>
      </c>
      <c r="G1205" s="1" t="s">
        <v>2722</v>
      </c>
      <c r="H1205" t="s">
        <v>176</v>
      </c>
      <c r="I1205" t="s">
        <v>2724</v>
      </c>
      <c r="J1205" s="22">
        <v>0.57499999999999996</v>
      </c>
      <c r="K1205" s="12"/>
      <c r="L1205" s="12">
        <v>40148</v>
      </c>
      <c r="M1205">
        <v>12</v>
      </c>
      <c r="N1205" s="49" t="s">
        <v>71</v>
      </c>
      <c r="O1205">
        <v>2009</v>
      </c>
      <c r="P1205">
        <v>0.1163</v>
      </c>
      <c r="Q1205" s="10"/>
      <c r="R1205" s="11">
        <f>ROUND(Таб[[#This Row],[Зелений Тариф ЕЦ]]+Таб[[#This Row],[Зелений Тариф ЕЦ]]*Таб[[#This Row],[% надбавки]],4)</f>
        <v>0.1163</v>
      </c>
      <c r="S1205" s="12"/>
      <c r="T1205">
        <v>7.4999999999999997E-2</v>
      </c>
      <c r="U1205">
        <v>9.9999999999999992E-2</v>
      </c>
      <c r="V1205">
        <v>0.33500000000000002</v>
      </c>
      <c r="W1205">
        <v>0.14900000000000002</v>
      </c>
      <c r="X1205">
        <v>6.9999999999999951E-2</v>
      </c>
      <c r="Y1205">
        <v>4.3000000000000038E-2</v>
      </c>
      <c r="Z1205">
        <v>3.1000000000000028E-2</v>
      </c>
      <c r="AA1205">
        <v>2.9999999999999916E-2</v>
      </c>
      <c r="AB1205">
        <v>3.2000000000000028E-2</v>
      </c>
      <c r="AC1205">
        <v>6.1000000000000054E-2</v>
      </c>
      <c r="AD1205">
        <v>6.4999999999999947E-2</v>
      </c>
      <c r="AE1205">
        <v>8.3999999999999964E-2</v>
      </c>
      <c r="AF1205">
        <v>8.4000000000000005E-2</v>
      </c>
      <c r="AG1205">
        <v>7.8E-2</v>
      </c>
      <c r="AH1205">
        <v>0.224</v>
      </c>
      <c r="AI1205">
        <v>0.17</v>
      </c>
      <c r="AJ1205">
        <v>5.5E-2</v>
      </c>
      <c r="AK1205">
        <v>3.2000000000000001E-2</v>
      </c>
      <c r="AL1205">
        <v>4.5999999999999999E-2</v>
      </c>
      <c r="AM1205">
        <v>2.5000000000000001E-2</v>
      </c>
      <c r="AN1205">
        <v>2.1000000000000001E-2</v>
      </c>
      <c r="AO1205">
        <v>4.4999999999999998E-2</v>
      </c>
      <c r="AP1205">
        <v>3.5999999999999997E-2</v>
      </c>
      <c r="AQ1205">
        <v>4.9000000000000002E-2</v>
      </c>
      <c r="AR1205">
        <v>7.1999999999999995E-2</v>
      </c>
      <c r="AS1205">
        <v>0.106</v>
      </c>
      <c r="AT1205">
        <v>7.5999999999999998E-2</v>
      </c>
      <c r="AU1205">
        <v>5.2999999999999999E-2</v>
      </c>
      <c r="AV1205">
        <v>0.23200000000000001</v>
      </c>
      <c r="AW1205">
        <v>0.14299999999999999</v>
      </c>
      <c r="AX1205">
        <v>2.3E-2</v>
      </c>
      <c r="AY1205">
        <v>1.2999999999999999E-2</v>
      </c>
      <c r="BD12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141.17400000000001</v>
      </c>
      <c r="BE12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127.512</v>
      </c>
      <c r="BF12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141.17400000000001</v>
      </c>
      <c r="BG12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136.62</v>
      </c>
      <c r="BH12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141.17400000000001</v>
      </c>
      <c r="BI12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136.62</v>
      </c>
      <c r="BJ12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141.17400000000001</v>
      </c>
      <c r="BK12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141.17400000000001</v>
      </c>
      <c r="BL12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136.62</v>
      </c>
      <c r="BM12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141.17400000000001</v>
      </c>
      <c r="BN12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136.62</v>
      </c>
      <c r="BO12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141.17400000000001</v>
      </c>
      <c r="BP1205">
        <f>SUM(Таб[[#This Row],[1]:[12]])</f>
        <v>1662.21</v>
      </c>
    </row>
    <row r="1206" spans="2:68" ht="38.25">
      <c r="B1206" t="s">
        <v>2715</v>
      </c>
      <c r="C1206" t="str">
        <f>IF(Таб[[#This Row],[Потужність, МВт]]&lt;0.2,"Мікро",IF(Таб[[#This Row],[Потужність, МВт]]&lt;1,"Міні","Мала"))</f>
        <v>Міні</v>
      </c>
      <c r="G1206" s="1" t="s">
        <v>2727</v>
      </c>
      <c r="H1206" t="s">
        <v>321</v>
      </c>
      <c r="I1206" t="s">
        <v>374</v>
      </c>
      <c r="J1206" s="22">
        <v>0.38400000000000001</v>
      </c>
      <c r="K1206" s="12"/>
      <c r="L1206" s="12">
        <v>40544</v>
      </c>
      <c r="M1206">
        <v>1</v>
      </c>
      <c r="N1206" s="49" t="s">
        <v>67</v>
      </c>
      <c r="O1206">
        <v>2011</v>
      </c>
      <c r="P1206">
        <v>0.1163</v>
      </c>
      <c r="Q1206" s="10"/>
      <c r="R1206" s="11">
        <f>ROUND(Таб[[#This Row],[Зелений Тариф ЕЦ]]+Таб[[#This Row],[Зелений Тариф ЕЦ]]*Таб[[#This Row],[% надбавки]],4)</f>
        <v>0.1163</v>
      </c>
      <c r="S1206" s="12"/>
      <c r="T1206">
        <v>0.158</v>
      </c>
      <c r="U1206">
        <v>0.11900000000000002</v>
      </c>
      <c r="V1206">
        <v>0.26100000000000001</v>
      </c>
      <c r="W1206">
        <v>0.21099999999999997</v>
      </c>
      <c r="X1206">
        <v>0.16600000000000004</v>
      </c>
      <c r="Y1206">
        <v>7.0999999999999952E-2</v>
      </c>
      <c r="Z1206">
        <v>4.8999999999999932E-2</v>
      </c>
      <c r="AA1206">
        <v>4.7000000000000153E-2</v>
      </c>
      <c r="AB1206">
        <v>8.2999999999999963E-2</v>
      </c>
      <c r="AC1206">
        <v>0.14300000000000002</v>
      </c>
      <c r="AD1206">
        <v>0.11499999999999999</v>
      </c>
      <c r="AE1206">
        <v>4.0000000000000036E-2</v>
      </c>
      <c r="AF1206">
        <v>0.26400000000000001</v>
      </c>
      <c r="AG1206">
        <v>0.14499999999999999</v>
      </c>
      <c r="AH1206">
        <v>0.26600000000000001</v>
      </c>
      <c r="AI1206">
        <v>0.25800000000000001</v>
      </c>
      <c r="AJ1206">
        <v>0.26200000000000001</v>
      </c>
      <c r="AK1206">
        <v>0.13700000000000001</v>
      </c>
      <c r="AL1206">
        <v>6.9000000000000006E-2</v>
      </c>
      <c r="AM1206">
        <v>7.0000000000000007E-2</v>
      </c>
      <c r="AN1206">
        <v>0.03</v>
      </c>
      <c r="AO1206">
        <v>5.8999999999999997E-2</v>
      </c>
      <c r="AP1206">
        <v>4.9000000000000002E-2</v>
      </c>
      <c r="AQ1206">
        <v>0.10299999999999999</v>
      </c>
      <c r="AR1206">
        <v>0.161</v>
      </c>
      <c r="AS1206">
        <v>0.16700000000000001</v>
      </c>
      <c r="AT1206">
        <v>0.186</v>
      </c>
      <c r="AU1206">
        <v>0.105</v>
      </c>
      <c r="AV1206">
        <v>0.246</v>
      </c>
      <c r="AW1206">
        <v>0.16500000000000001</v>
      </c>
      <c r="AX1206">
        <v>8.6999999999999994E-2</v>
      </c>
      <c r="AY1206">
        <v>3.7999999999999999E-2</v>
      </c>
      <c r="BD12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94.279679999999999</v>
      </c>
      <c r="BE12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85.155840000000012</v>
      </c>
      <c r="BF12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94.279679999999999</v>
      </c>
      <c r="BG12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91.238399999999999</v>
      </c>
      <c r="BH12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94.279679999999999</v>
      </c>
      <c r="BI12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91.238399999999999</v>
      </c>
      <c r="BJ12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94.279679999999999</v>
      </c>
      <c r="BK12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94.279679999999999</v>
      </c>
      <c r="BL12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91.238399999999999</v>
      </c>
      <c r="BM12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94.279679999999999</v>
      </c>
      <c r="BN12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91.238399999999999</v>
      </c>
      <c r="BO12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94.279679999999999</v>
      </c>
      <c r="BP1206">
        <f>SUM(Таб[[#This Row],[1]:[12]])</f>
        <v>1110.0672</v>
      </c>
    </row>
    <row r="1207" spans="2:68" ht="25.5">
      <c r="B1207" t="s">
        <v>2715</v>
      </c>
      <c r="C1207" t="str">
        <f>IF(Таб[[#This Row],[Потужність, МВт]]&lt;0.2,"Мікро",IF(Таб[[#This Row],[Потужність, МВт]]&lt;1,"Міні","Мала"))</f>
        <v>Мікро</v>
      </c>
      <c r="G1207" s="1" t="s">
        <v>2730</v>
      </c>
      <c r="H1207" t="s">
        <v>176</v>
      </c>
      <c r="I1207" t="s">
        <v>1802</v>
      </c>
      <c r="J1207" s="22">
        <v>0.18</v>
      </c>
      <c r="K1207" s="12"/>
      <c r="L1207" s="12">
        <v>40603</v>
      </c>
      <c r="M1207">
        <v>3</v>
      </c>
      <c r="N1207" s="49" t="s">
        <v>67</v>
      </c>
      <c r="O1207">
        <v>2011</v>
      </c>
      <c r="P1207">
        <v>0.1163</v>
      </c>
      <c r="Q1207" s="10"/>
      <c r="R1207" s="11">
        <f>ROUND(Таб[[#This Row],[Зелений Тариф ЕЦ]]+Таб[[#This Row],[Зелений Тариф ЕЦ]]*Таб[[#This Row],[% надбавки]],4)</f>
        <v>0.1163</v>
      </c>
      <c r="S1207" s="12"/>
      <c r="T1207">
        <v>3.2000000000000001E-2</v>
      </c>
      <c r="U1207">
        <v>3.8000000000000006E-2</v>
      </c>
      <c r="V1207">
        <v>7.5999999999999984E-2</v>
      </c>
      <c r="W1207">
        <v>7.5000000000000011E-2</v>
      </c>
      <c r="X1207">
        <v>5.6000000000000022E-2</v>
      </c>
      <c r="Y1207">
        <v>2.4999999999999967E-2</v>
      </c>
      <c r="Z1207">
        <v>2.0000000000000018E-3</v>
      </c>
      <c r="AA1207">
        <v>8.0000000000000071E-3</v>
      </c>
      <c r="AB1207">
        <v>8.0000000000000071E-3</v>
      </c>
      <c r="AC1207">
        <v>1.6000000000000014E-2</v>
      </c>
      <c r="AD1207">
        <v>3.0999999999999972E-2</v>
      </c>
      <c r="AE1207">
        <v>7.1000000000000008E-2</v>
      </c>
      <c r="AF1207">
        <v>0.08</v>
      </c>
      <c r="AG1207">
        <v>8.1000000000000003E-2</v>
      </c>
      <c r="AH1207">
        <v>7.9000000000000001E-2</v>
      </c>
      <c r="AI1207">
        <v>0.08</v>
      </c>
      <c r="AJ1207">
        <v>3.2000000000000001E-2</v>
      </c>
      <c r="AK1207">
        <v>1.4999999999999999E-2</v>
      </c>
      <c r="AL1207">
        <v>0.03</v>
      </c>
      <c r="AM1207">
        <v>1.4999999999999999E-2</v>
      </c>
      <c r="AN1207">
        <v>0.01</v>
      </c>
      <c r="AO1207">
        <v>1.4999999999999999E-2</v>
      </c>
      <c r="AP1207">
        <v>1.6E-2</v>
      </c>
      <c r="AQ1207">
        <v>2.1000000000000001E-2</v>
      </c>
      <c r="AR1207">
        <v>2.8000000000000001E-2</v>
      </c>
      <c r="AS1207">
        <v>3.7999999999999999E-2</v>
      </c>
      <c r="AT1207">
        <v>4.1000000000000002E-2</v>
      </c>
      <c r="AU1207">
        <v>2.5000000000000001E-2</v>
      </c>
      <c r="AV1207">
        <v>8.7999999999999995E-2</v>
      </c>
      <c r="AW1207">
        <v>3.5000000000000003E-2</v>
      </c>
      <c r="AX1207">
        <v>6.0000000000000001E-3</v>
      </c>
      <c r="AY1207">
        <v>1.4999999999999999E-2</v>
      </c>
      <c r="BD12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44.193600000000004</v>
      </c>
      <c r="BE12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39.916800000000002</v>
      </c>
      <c r="BF12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44.193600000000004</v>
      </c>
      <c r="BG12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42.768000000000001</v>
      </c>
      <c r="BH12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44.193600000000004</v>
      </c>
      <c r="BI12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42.768000000000001</v>
      </c>
      <c r="BJ12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44.193600000000004</v>
      </c>
      <c r="BK12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44.193600000000004</v>
      </c>
      <c r="BL12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42.768000000000001</v>
      </c>
      <c r="BM12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44.193600000000004</v>
      </c>
      <c r="BN12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42.768000000000001</v>
      </c>
      <c r="BO12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44.193600000000004</v>
      </c>
      <c r="BP1207">
        <f>SUM(Таб[[#This Row],[1]:[12]])</f>
        <v>520.34400000000005</v>
      </c>
    </row>
    <row r="1208" spans="2:68" ht="51">
      <c r="B1208" t="s">
        <v>2715</v>
      </c>
      <c r="C1208" t="str">
        <f>IF(Таб[[#This Row],[Потужність, МВт]]&lt;0.2,"Мікро",IF(Таб[[#This Row],[Потужність, МВт]]&lt;1,"Міні","Мала"))</f>
        <v>Мала</v>
      </c>
      <c r="D1208" t="s">
        <v>3372</v>
      </c>
      <c r="F1208" t="s">
        <v>3287</v>
      </c>
      <c r="G1208" s="1" t="s">
        <v>2733</v>
      </c>
      <c r="H1208" t="s">
        <v>233</v>
      </c>
      <c r="I1208" t="s">
        <v>2735</v>
      </c>
      <c r="J1208" s="22">
        <v>2.2000000000000002</v>
      </c>
      <c r="K1208" s="12"/>
      <c r="L1208" s="12">
        <v>42250</v>
      </c>
      <c r="M1208">
        <v>9</v>
      </c>
      <c r="N1208" s="49" t="s">
        <v>60</v>
      </c>
      <c r="O1208">
        <v>2015</v>
      </c>
      <c r="P1208">
        <v>0.1163</v>
      </c>
      <c r="Q1208" s="10"/>
      <c r="R1208" s="11">
        <f>ROUND(Таб[[#This Row],[Зелений Тариф ЕЦ]]+Таб[[#This Row],[Зелений Тариф ЕЦ]]*Таб[[#This Row],[% надбавки]],4)</f>
        <v>0.1163</v>
      </c>
      <c r="S1208" s="12"/>
      <c r="T1208">
        <v>0.221</v>
      </c>
      <c r="U1208">
        <v>0.78900000000000003</v>
      </c>
      <c r="V1208">
        <v>1.1870000000000001</v>
      </c>
      <c r="W1208">
        <v>0.94099999999999984</v>
      </c>
      <c r="X1208">
        <v>0.99000000000000021</v>
      </c>
      <c r="Y1208">
        <v>1.1470000000000002</v>
      </c>
      <c r="Z1208">
        <v>0.55999999999999961</v>
      </c>
      <c r="AA1208">
        <v>0.12300000000000022</v>
      </c>
      <c r="AB1208">
        <v>0.44299999999999962</v>
      </c>
      <c r="AC1208">
        <v>0.40800000000000036</v>
      </c>
      <c r="AD1208">
        <v>1.1299999999999999</v>
      </c>
      <c r="AE1208">
        <v>1.0839999999999996</v>
      </c>
      <c r="AF1208">
        <v>1.0529999999999999</v>
      </c>
      <c r="AG1208">
        <v>0.74099999999999999</v>
      </c>
      <c r="AH1208">
        <v>1.012</v>
      </c>
      <c r="AI1208">
        <v>1.014</v>
      </c>
      <c r="AJ1208">
        <v>0.84399999999999997</v>
      </c>
      <c r="AK1208">
        <v>0.77</v>
      </c>
      <c r="AL1208">
        <v>0.378</v>
      </c>
      <c r="AM1208">
        <v>8.6999999999999994E-2</v>
      </c>
      <c r="AN1208">
        <v>0.16900000000000001</v>
      </c>
      <c r="AO1208">
        <v>0.42299999999999999</v>
      </c>
      <c r="AP1208">
        <v>0.29099999999999998</v>
      </c>
      <c r="AQ1208">
        <v>0.35799999999999998</v>
      </c>
      <c r="AR1208">
        <v>0.315</v>
      </c>
      <c r="AS1208">
        <v>0.73499999999999999</v>
      </c>
      <c r="AT1208">
        <v>1.0880000000000001</v>
      </c>
      <c r="AU1208">
        <v>1.07</v>
      </c>
      <c r="AV1208">
        <v>1.169</v>
      </c>
      <c r="AW1208">
        <v>0.84199999999999997</v>
      </c>
      <c r="AX1208">
        <v>0.49399999999999999</v>
      </c>
      <c r="AY1208">
        <v>0.33900000000000002</v>
      </c>
      <c r="BD12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540.14400000000012</v>
      </c>
      <c r="BE12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487.87200000000007</v>
      </c>
      <c r="BF12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540.14400000000012</v>
      </c>
      <c r="BG12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522.72</v>
      </c>
      <c r="BH12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540.14400000000012</v>
      </c>
      <c r="BI12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522.72</v>
      </c>
      <c r="BJ12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540.14400000000012</v>
      </c>
      <c r="BK12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540.14400000000012</v>
      </c>
      <c r="BL12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522.72</v>
      </c>
      <c r="BM12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540.14400000000012</v>
      </c>
      <c r="BN12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522.72</v>
      </c>
      <c r="BO12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540.14400000000012</v>
      </c>
      <c r="BP1208">
        <f>SUM(Таб[[#This Row],[1]:[12]])</f>
        <v>6359.760000000002</v>
      </c>
    </row>
    <row r="1209" spans="2:68" ht="63.75">
      <c r="B1209" t="s">
        <v>2715</v>
      </c>
      <c r="C1209" t="str">
        <f>IF(Таб[[#This Row],[Потужність, МВт]]&lt;0.2,"Мікро",IF(Таб[[#This Row],[Потужність, МВт]]&lt;1,"Міні","Мала"))</f>
        <v>Міні</v>
      </c>
      <c r="D1209" t="s">
        <v>3372</v>
      </c>
      <c r="F1209" t="s">
        <v>3287</v>
      </c>
      <c r="G1209" s="1" t="s">
        <v>2738</v>
      </c>
      <c r="H1209" t="s">
        <v>62</v>
      </c>
      <c r="I1209" t="s">
        <v>2740</v>
      </c>
      <c r="J1209" s="22">
        <v>0.63</v>
      </c>
      <c r="K1209" s="12"/>
      <c r="L1209" s="12">
        <v>40148</v>
      </c>
      <c r="M1209">
        <v>12</v>
      </c>
      <c r="N1209" s="49" t="s">
        <v>71</v>
      </c>
      <c r="O1209">
        <v>2009</v>
      </c>
      <c r="P1209">
        <v>0.1163</v>
      </c>
      <c r="Q1209" s="10"/>
      <c r="R1209" s="11">
        <f>ROUND(Таб[[#This Row],[Зелений Тариф ЕЦ]]+Таб[[#This Row],[Зелений Тариф ЕЦ]]*Таб[[#This Row],[% надбавки]],4)</f>
        <v>0.1163</v>
      </c>
      <c r="S1209" s="12"/>
      <c r="T1209">
        <v>0.20499999999999999</v>
      </c>
      <c r="U1209">
        <v>0.28900000000000003</v>
      </c>
      <c r="V1209">
        <v>0.48299999999999998</v>
      </c>
      <c r="W1209">
        <v>0.33799999999999997</v>
      </c>
      <c r="X1209">
        <v>0.28100000000000014</v>
      </c>
      <c r="Y1209">
        <v>0.18299999999999983</v>
      </c>
      <c r="Z1209">
        <v>0.15700000000000003</v>
      </c>
      <c r="AA1209">
        <v>0.13300000000000001</v>
      </c>
      <c r="AB1209">
        <v>0.17500000000000027</v>
      </c>
      <c r="AC1209">
        <v>0.25999999999999979</v>
      </c>
      <c r="AD1209">
        <v>0.2330000000000001</v>
      </c>
      <c r="AE1209">
        <v>0.2629999999999999</v>
      </c>
      <c r="AF1209">
        <v>0.26600000000000001</v>
      </c>
      <c r="AG1209">
        <v>0.24399999999999999</v>
      </c>
      <c r="AH1209">
        <v>0.377</v>
      </c>
      <c r="AI1209">
        <v>0.379</v>
      </c>
      <c r="AJ1209">
        <v>0.22500000000000001</v>
      </c>
      <c r="AK1209">
        <v>0.17799999999999999</v>
      </c>
      <c r="AL1209">
        <v>0.214</v>
      </c>
      <c r="AM1209">
        <v>0.247</v>
      </c>
      <c r="AN1209">
        <v>0.218</v>
      </c>
      <c r="AO1209">
        <v>0.26200000000000001</v>
      </c>
      <c r="AP1209">
        <v>0.20200000000000001</v>
      </c>
      <c r="AQ1209">
        <v>0.22900000000000001</v>
      </c>
      <c r="AR1209">
        <v>0.27500000000000002</v>
      </c>
      <c r="AS1209">
        <v>0.28599999999999998</v>
      </c>
      <c r="AT1209">
        <v>0.307</v>
      </c>
      <c r="AU1209">
        <v>0.26</v>
      </c>
      <c r="AV1209">
        <v>0.42899999999999999</v>
      </c>
      <c r="AW1209">
        <v>0.376</v>
      </c>
      <c r="AX1209">
        <v>0.221</v>
      </c>
      <c r="AY1209">
        <v>0.17499999999999999</v>
      </c>
      <c r="BD12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154.67759999999998</v>
      </c>
      <c r="BE12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139.7088</v>
      </c>
      <c r="BF12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154.67759999999998</v>
      </c>
      <c r="BG12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149.68799999999999</v>
      </c>
      <c r="BH12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154.67759999999998</v>
      </c>
      <c r="BI12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149.68799999999999</v>
      </c>
      <c r="BJ12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154.67759999999998</v>
      </c>
      <c r="BK12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154.67759999999998</v>
      </c>
      <c r="BL12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149.68799999999999</v>
      </c>
      <c r="BM12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154.67759999999998</v>
      </c>
      <c r="BN12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149.68799999999999</v>
      </c>
      <c r="BO12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154.67759999999998</v>
      </c>
      <c r="BP1209">
        <f>SUM(Таб[[#This Row],[1]:[12]])</f>
        <v>1821.2040000000002</v>
      </c>
    </row>
    <row r="1210" spans="2:68" ht="63.75">
      <c r="B1210" t="s">
        <v>2715</v>
      </c>
      <c r="C1210" t="str">
        <f>IF(Таб[[#This Row],[Потужність, МВт]]&lt;0.2,"Мікро",IF(Таб[[#This Row],[Потужність, МВт]]&lt;1,"Міні","Мала"))</f>
        <v>Мала</v>
      </c>
      <c r="D1210" t="s">
        <v>3372</v>
      </c>
      <c r="F1210" t="s">
        <v>3287</v>
      </c>
      <c r="G1210" s="1" t="s">
        <v>2738</v>
      </c>
      <c r="H1210" t="s">
        <v>62</v>
      </c>
      <c r="I1210" t="s">
        <v>2740</v>
      </c>
      <c r="J1210" s="22">
        <v>1.44</v>
      </c>
      <c r="K1210" s="12"/>
      <c r="L1210" s="12">
        <v>42236</v>
      </c>
      <c r="M1210">
        <v>8</v>
      </c>
      <c r="N1210" s="49" t="s">
        <v>60</v>
      </c>
      <c r="O1210">
        <v>2015</v>
      </c>
      <c r="P1210">
        <v>0.1163</v>
      </c>
      <c r="Q1210" s="10"/>
      <c r="R1210" s="11">
        <f>ROUND(Таб[[#This Row],[Зелений Тариф ЕЦ]]+Таб[[#This Row],[Зелений Тариф ЕЦ]]*Таб[[#This Row],[% надбавки]],4)</f>
        <v>0.1163</v>
      </c>
      <c r="S1210" s="12"/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BD12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353.54880000000003</v>
      </c>
      <c r="BE12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319.33440000000002</v>
      </c>
      <c r="BF12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353.54880000000003</v>
      </c>
      <c r="BG12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342.14400000000001</v>
      </c>
      <c r="BH12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353.54880000000003</v>
      </c>
      <c r="BI12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342.14400000000001</v>
      </c>
      <c r="BJ12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353.54880000000003</v>
      </c>
      <c r="BK12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353.54880000000003</v>
      </c>
      <c r="BL12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342.14400000000001</v>
      </c>
      <c r="BM12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353.54880000000003</v>
      </c>
      <c r="BN12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342.14400000000001</v>
      </c>
      <c r="BO12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353.54880000000003</v>
      </c>
      <c r="BP1210">
        <f>SUM(Таб[[#This Row],[1]:[12]])</f>
        <v>4162.7520000000004</v>
      </c>
    </row>
    <row r="1211" spans="2:68" ht="63.75">
      <c r="B1211" t="s">
        <v>2715</v>
      </c>
      <c r="C1211" t="str">
        <f>IF(Таб[[#This Row],[Потужність, МВт]]&lt;0.2,"Мікро",IF(Таб[[#This Row],[Потужність, МВт]]&lt;1,"Міні","Мала"))</f>
        <v>Мікро</v>
      </c>
      <c r="D1211" t="s">
        <v>3372</v>
      </c>
      <c r="F1211" t="s">
        <v>3287</v>
      </c>
      <c r="G1211" s="1" t="s">
        <v>2738</v>
      </c>
      <c r="H1211" t="s">
        <v>98</v>
      </c>
      <c r="I1211" t="s">
        <v>2748</v>
      </c>
      <c r="J1211" s="22">
        <v>0.16500000000000001</v>
      </c>
      <c r="K1211" s="12"/>
      <c r="L1211" s="12">
        <v>41463</v>
      </c>
      <c r="M1211">
        <v>7</v>
      </c>
      <c r="N1211" s="49" t="s">
        <v>60</v>
      </c>
      <c r="O1211">
        <v>2013</v>
      </c>
      <c r="P1211">
        <v>0.19389999999999999</v>
      </c>
      <c r="Q1211" s="10"/>
      <c r="R1211" s="11">
        <f>ROUND(Таб[[#This Row],[Зелений Тариф ЕЦ]]+Таб[[#This Row],[Зелений Тариф ЕЦ]]*Таб[[#This Row],[% надбавки]],4)</f>
        <v>0.19389999999999999</v>
      </c>
      <c r="S1211" s="12"/>
      <c r="T1211">
        <v>4.1000000000000002E-2</v>
      </c>
      <c r="U1211">
        <v>6.8000000000000005E-2</v>
      </c>
      <c r="V1211">
        <v>9.5999999999999988E-2</v>
      </c>
      <c r="W1211">
        <v>5.5000000000000021E-2</v>
      </c>
      <c r="X1211">
        <v>8.5999999999999965E-2</v>
      </c>
      <c r="Y1211">
        <v>4.3000000000000038E-2</v>
      </c>
      <c r="Z1211">
        <v>3.6999999999999977E-2</v>
      </c>
      <c r="AA1211">
        <v>1.8000000000000016E-2</v>
      </c>
      <c r="AB1211">
        <v>4.3999999999999984E-2</v>
      </c>
      <c r="AC1211">
        <v>4.500000000000004E-2</v>
      </c>
      <c r="AD1211">
        <v>6.899999999999995E-2</v>
      </c>
      <c r="AE1211">
        <v>8.2000000000000073E-2</v>
      </c>
      <c r="AF1211">
        <v>8.5000000000000006E-2</v>
      </c>
      <c r="AG1211">
        <v>6.5000000000000002E-2</v>
      </c>
      <c r="AH1211">
        <v>0.06</v>
      </c>
      <c r="AI1211">
        <v>7.8E-2</v>
      </c>
      <c r="AJ1211">
        <v>3.4000000000000002E-2</v>
      </c>
      <c r="AK1211">
        <v>5.5E-2</v>
      </c>
      <c r="AL1211">
        <v>8.4000000000000005E-2</v>
      </c>
      <c r="AM1211">
        <v>4.8000000000000001E-2</v>
      </c>
      <c r="AN1211">
        <v>3.3000000000000002E-2</v>
      </c>
      <c r="AO1211">
        <v>2.7E-2</v>
      </c>
      <c r="AP1211">
        <v>0.03</v>
      </c>
      <c r="AQ1211">
        <v>6.4000000000000001E-2</v>
      </c>
      <c r="AR1211">
        <v>6.4000000000000001E-2</v>
      </c>
      <c r="AS1211">
        <v>7.3999999999999996E-2</v>
      </c>
      <c r="AT1211">
        <v>6.2E-2</v>
      </c>
      <c r="AU1211">
        <v>3.5999999999999997E-2</v>
      </c>
      <c r="AV1211">
        <v>8.3000000000000004E-2</v>
      </c>
      <c r="AW1211">
        <v>7.5999999999999998E-2</v>
      </c>
      <c r="AX1211">
        <v>3.3000000000000002E-2</v>
      </c>
      <c r="AY1211">
        <v>0.04</v>
      </c>
      <c r="BD12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40.510800000000003</v>
      </c>
      <c r="BE12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36.590400000000002</v>
      </c>
      <c r="BF12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40.510800000000003</v>
      </c>
      <c r="BG12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39.204000000000008</v>
      </c>
      <c r="BH12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40.510800000000003</v>
      </c>
      <c r="BI12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39.204000000000008</v>
      </c>
      <c r="BJ12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40.510800000000003</v>
      </c>
      <c r="BK12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40.510800000000003</v>
      </c>
      <c r="BL12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39.204000000000008</v>
      </c>
      <c r="BM12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40.510800000000003</v>
      </c>
      <c r="BN12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39.204000000000008</v>
      </c>
      <c r="BO12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40.510800000000003</v>
      </c>
      <c r="BP1211">
        <f>SUM(Таб[[#This Row],[1]:[12]])</f>
        <v>476.98200000000014</v>
      </c>
    </row>
    <row r="1212" spans="2:68" ht="38.25">
      <c r="B1212" t="s">
        <v>2715</v>
      </c>
      <c r="C1212" t="str">
        <f>IF(Таб[[#This Row],[Потужність, МВт]]&lt;0.2,"Мікро",IF(Таб[[#This Row],[Потужність, МВт]]&lt;1,"Міні","Мала"))</f>
        <v>Мала</v>
      </c>
      <c r="D1212" t="s">
        <v>3372</v>
      </c>
      <c r="F1212" t="s">
        <v>3287</v>
      </c>
      <c r="G1212" s="1" t="s">
        <v>2750</v>
      </c>
      <c r="H1212" t="s">
        <v>233</v>
      </c>
      <c r="I1212" t="s">
        <v>2752</v>
      </c>
      <c r="J1212" s="22">
        <v>1.92</v>
      </c>
      <c r="K1212" s="12"/>
      <c r="L1212" s="12">
        <v>42780</v>
      </c>
      <c r="M1212">
        <v>2</v>
      </c>
      <c r="N1212" s="49" t="s">
        <v>67</v>
      </c>
      <c r="O1212">
        <v>2017</v>
      </c>
      <c r="P1212">
        <v>0.1163</v>
      </c>
      <c r="Q1212" s="10"/>
      <c r="R1212" s="11">
        <f>ROUND(Таб[[#This Row],[Зелений Тариф ЕЦ]]+Таб[[#This Row],[Зелений Тариф ЕЦ]]*Таб[[#This Row],[% надбавки]],4)</f>
        <v>0.1163</v>
      </c>
      <c r="S1212" s="12"/>
      <c r="T1212">
        <v>0</v>
      </c>
      <c r="U1212">
        <v>0.46200000000000002</v>
      </c>
      <c r="V1212">
        <v>0.3</v>
      </c>
      <c r="W1212">
        <v>0.79200000000000004</v>
      </c>
      <c r="X1212">
        <v>0.54100000000000015</v>
      </c>
      <c r="Y1212">
        <v>0.37199999999999989</v>
      </c>
      <c r="Z1212">
        <v>0.41799999999999971</v>
      </c>
      <c r="AA1212">
        <v>0.17100000000000026</v>
      </c>
      <c r="AB1212">
        <v>0.15799999999999992</v>
      </c>
      <c r="AC1212">
        <v>0.2240000000000002</v>
      </c>
      <c r="AD1212">
        <v>0.49499999999999966</v>
      </c>
      <c r="AE1212">
        <v>0.50499999999999989</v>
      </c>
      <c r="AF1212">
        <v>0.56699999999999995</v>
      </c>
      <c r="AG1212">
        <v>0.623</v>
      </c>
      <c r="AH1212">
        <v>0.68100000000000005</v>
      </c>
      <c r="AI1212">
        <v>0.76200000000000001</v>
      </c>
      <c r="AJ1212">
        <v>0.51900000000000002</v>
      </c>
      <c r="AK1212">
        <v>0.35399999999999998</v>
      </c>
      <c r="AL1212">
        <v>0.33300000000000002</v>
      </c>
      <c r="AM1212">
        <v>6.6000000000000003E-2</v>
      </c>
      <c r="AN1212">
        <v>5.3999999999999999E-2</v>
      </c>
      <c r="AO1212">
        <v>8.3000000000000004E-2</v>
      </c>
      <c r="AP1212">
        <v>0.125</v>
      </c>
      <c r="AQ1212">
        <v>0.43099999999999999</v>
      </c>
      <c r="AR1212">
        <v>0.60899999999999999</v>
      </c>
      <c r="AS1212">
        <v>1.2769999999999999</v>
      </c>
      <c r="AT1212">
        <v>1.8</v>
      </c>
      <c r="AU1212">
        <v>1.3919999999999999</v>
      </c>
      <c r="AV1212">
        <v>1.7549999999999999</v>
      </c>
      <c r="AW1212">
        <v>1.0149999999999999</v>
      </c>
      <c r="AX1212">
        <v>0.24199999999999999</v>
      </c>
      <c r="AY1212">
        <v>0.24099999999999999</v>
      </c>
      <c r="BD12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471.39840000000004</v>
      </c>
      <c r="BE12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425.7792</v>
      </c>
      <c r="BF12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471.39840000000004</v>
      </c>
      <c r="BG12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456.19200000000006</v>
      </c>
      <c r="BH12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471.39840000000004</v>
      </c>
      <c r="BI12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456.19200000000006</v>
      </c>
      <c r="BJ12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471.39840000000004</v>
      </c>
      <c r="BK12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471.39840000000004</v>
      </c>
      <c r="BL12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456.19200000000006</v>
      </c>
      <c r="BM12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471.39840000000004</v>
      </c>
      <c r="BN12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456.19200000000006</v>
      </c>
      <c r="BO12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471.39840000000004</v>
      </c>
      <c r="BP1212">
        <f>SUM(Таб[[#This Row],[1]:[12]])</f>
        <v>5550.3360000000002</v>
      </c>
    </row>
    <row r="1213" spans="2:68" ht="38.25">
      <c r="B1213" t="s">
        <v>2715</v>
      </c>
      <c r="C1213" t="str">
        <f>IF(Таб[[#This Row],[Потужність, МВт]]&lt;0.2,"Мікро",IF(Таб[[#This Row],[Потужність, МВт]]&lt;1,"Міні","Мала"))</f>
        <v>Мала</v>
      </c>
      <c r="D1213" t="s">
        <v>3372</v>
      </c>
      <c r="F1213" t="s">
        <v>3287</v>
      </c>
      <c r="G1213" s="1" t="s">
        <v>2750</v>
      </c>
      <c r="H1213" t="s">
        <v>233</v>
      </c>
      <c r="I1213" t="s">
        <v>289</v>
      </c>
      <c r="J1213" s="22">
        <v>2.65</v>
      </c>
      <c r="K1213" s="12"/>
      <c r="L1213" s="12">
        <v>42794</v>
      </c>
      <c r="M1213">
        <v>2</v>
      </c>
      <c r="N1213" s="49" t="s">
        <v>67</v>
      </c>
      <c r="O1213">
        <v>2017</v>
      </c>
      <c r="P1213">
        <v>0.1163</v>
      </c>
      <c r="Q1213" s="10"/>
      <c r="R1213" s="11">
        <f>ROUND(Таб[[#This Row],[Зелений Тариф ЕЦ]]+Таб[[#This Row],[Зелений Тариф ЕЦ]]*Таб[[#This Row],[% надбавки]],4)</f>
        <v>0.1163</v>
      </c>
      <c r="S1213" s="12"/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BD12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650.62800000000004</v>
      </c>
      <c r="BE12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587.66399999999999</v>
      </c>
      <c r="BF12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650.62800000000004</v>
      </c>
      <c r="BG12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629.6400000000001</v>
      </c>
      <c r="BH12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650.62800000000004</v>
      </c>
      <c r="BI12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629.6400000000001</v>
      </c>
      <c r="BJ12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650.62800000000004</v>
      </c>
      <c r="BK12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650.62800000000004</v>
      </c>
      <c r="BL12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629.6400000000001</v>
      </c>
      <c r="BM12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650.62800000000004</v>
      </c>
      <c r="BN12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629.6400000000001</v>
      </c>
      <c r="BO12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650.62800000000004</v>
      </c>
      <c r="BP1213">
        <f>SUM(Таб[[#This Row],[1]:[12]])</f>
        <v>7660.62</v>
      </c>
    </row>
    <row r="1214" spans="2:68" ht="25.5">
      <c r="B1214" t="s">
        <v>2715</v>
      </c>
      <c r="C1214" t="str">
        <f>IF(Таб[[#This Row],[Потужність, МВт]]&lt;0.2,"Мікро",IF(Таб[[#This Row],[Потужність, МВт]]&lt;1,"Міні","Мала"))</f>
        <v>Міні</v>
      </c>
      <c r="G1214" s="1" t="s">
        <v>427</v>
      </c>
      <c r="H1214" t="s">
        <v>82</v>
      </c>
      <c r="I1214" t="s">
        <v>338</v>
      </c>
      <c r="J1214" s="22">
        <v>0.95</v>
      </c>
      <c r="K1214" s="12"/>
      <c r="L1214" s="12">
        <v>42794</v>
      </c>
      <c r="M1214">
        <v>2</v>
      </c>
      <c r="N1214" s="49" t="s">
        <v>67</v>
      </c>
      <c r="O1214">
        <v>2017</v>
      </c>
      <c r="P1214">
        <v>0.1163</v>
      </c>
      <c r="Q1214" s="10"/>
      <c r="R1214" s="11">
        <f>ROUND(Таб[[#This Row],[Зелений Тариф ЕЦ]]+Таб[[#This Row],[Зелений Тариф ЕЦ]]*Таб[[#This Row],[% надбавки]],4)</f>
        <v>0.1163</v>
      </c>
      <c r="S1214" s="12"/>
      <c r="T1214">
        <v>0</v>
      </c>
      <c r="U1214">
        <v>0</v>
      </c>
      <c r="V1214">
        <v>0</v>
      </c>
      <c r="W1214">
        <v>0</v>
      </c>
      <c r="X1214">
        <v>0</v>
      </c>
      <c r="Y1214">
        <v>0.28799999999999998</v>
      </c>
      <c r="Z1214">
        <v>0.23800000000000004</v>
      </c>
      <c r="AA1214">
        <v>0.15200000000000002</v>
      </c>
      <c r="AB1214">
        <v>0</v>
      </c>
      <c r="AC1214">
        <v>0.17299999999999993</v>
      </c>
      <c r="AD1214">
        <v>0.42799999999999994</v>
      </c>
      <c r="AE1214">
        <v>0.45700000000000007</v>
      </c>
      <c r="AF1214">
        <v>0.47399999999999998</v>
      </c>
      <c r="AG1214">
        <v>0.438</v>
      </c>
      <c r="AH1214">
        <v>0.51800000000000002</v>
      </c>
      <c r="AI1214">
        <v>0.51300000000000001</v>
      </c>
      <c r="AJ1214">
        <v>0.38500000000000001</v>
      </c>
      <c r="AK1214">
        <v>0.28899999999999998</v>
      </c>
      <c r="AL1214">
        <v>0.34</v>
      </c>
      <c r="AM1214">
        <v>0.27800000000000002</v>
      </c>
      <c r="AN1214">
        <v>0.28499999999999998</v>
      </c>
      <c r="AO1214">
        <v>0.41799999999999998</v>
      </c>
      <c r="AP1214">
        <v>0.46100000000000002</v>
      </c>
      <c r="AQ1214">
        <v>0.46800000000000003</v>
      </c>
      <c r="AR1214">
        <v>0.47699999999999998</v>
      </c>
      <c r="AS1214">
        <v>0.46899999999999997</v>
      </c>
      <c r="AT1214">
        <v>0.53500000000000003</v>
      </c>
      <c r="AU1214">
        <v>0.45900000000000002</v>
      </c>
      <c r="AV1214">
        <v>0.51400000000000001</v>
      </c>
      <c r="AW1214">
        <v>0.48299999999999998</v>
      </c>
      <c r="AX1214">
        <v>0.34599999999999997</v>
      </c>
      <c r="AY1214">
        <v>0.28100000000000003</v>
      </c>
      <c r="BD12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233.24400000000003</v>
      </c>
      <c r="BE12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210.67200000000003</v>
      </c>
      <c r="BF12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233.24400000000003</v>
      </c>
      <c r="BG12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225.71999999999997</v>
      </c>
      <c r="BH12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233.24400000000003</v>
      </c>
      <c r="BI12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225.71999999999997</v>
      </c>
      <c r="BJ12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233.24400000000003</v>
      </c>
      <c r="BK12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233.24400000000003</v>
      </c>
      <c r="BL12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225.71999999999997</v>
      </c>
      <c r="BM12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233.24400000000003</v>
      </c>
      <c r="BN12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225.71999999999997</v>
      </c>
      <c r="BO12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233.24400000000003</v>
      </c>
      <c r="BP1214">
        <f>SUM(Таб[[#This Row],[1]:[12]])</f>
        <v>2746.26</v>
      </c>
    </row>
    <row r="1215" spans="2:68" ht="25.5">
      <c r="B1215" t="s">
        <v>2715</v>
      </c>
      <c r="C1215" t="str">
        <f>IF(Таб[[#This Row],[Потужність, МВт]]&lt;0.2,"Мікро",IF(Таб[[#This Row],[Потужність, МВт]]&lt;1,"Міні","Мала"))</f>
        <v>Міні</v>
      </c>
      <c r="G1215" s="1" t="s">
        <v>2761</v>
      </c>
      <c r="H1215" t="s">
        <v>172</v>
      </c>
      <c r="I1215" t="s">
        <v>2763</v>
      </c>
      <c r="J1215" s="22">
        <v>0.8</v>
      </c>
      <c r="K1215" s="12"/>
      <c r="L1215" s="12">
        <v>40026</v>
      </c>
      <c r="M1215">
        <v>8</v>
      </c>
      <c r="N1215" s="49" t="s">
        <v>60</v>
      </c>
      <c r="O1215">
        <v>2009</v>
      </c>
      <c r="P1215">
        <v>0.1163</v>
      </c>
      <c r="Q1215" s="10"/>
      <c r="R1215" s="11">
        <f>ROUND(Таб[[#This Row],[Зелений Тариф ЕЦ]]+Таб[[#This Row],[Зелений Тариф ЕЦ]]*Таб[[#This Row],[% надбавки]],4)</f>
        <v>0.1163</v>
      </c>
      <c r="S1215" s="12"/>
      <c r="T1215">
        <v>0.155</v>
      </c>
      <c r="U1215">
        <v>0.18500000000000003</v>
      </c>
      <c r="V1215">
        <v>0.42099999999999999</v>
      </c>
      <c r="W1215">
        <v>0.20099999999999996</v>
      </c>
      <c r="X1215">
        <v>0.15400000000000014</v>
      </c>
      <c r="Y1215">
        <v>8.9999999999999858E-2</v>
      </c>
      <c r="Z1215">
        <v>9.6999999999999975E-2</v>
      </c>
      <c r="AA1215">
        <v>7.4999999999999956E-2</v>
      </c>
      <c r="AB1215">
        <v>0.17100000000000004</v>
      </c>
      <c r="AC1215">
        <v>0.18400000000000016</v>
      </c>
      <c r="AD1215">
        <v>0.17599999999999993</v>
      </c>
      <c r="AE1215">
        <v>0.21500000000000008</v>
      </c>
      <c r="AF1215">
        <v>0.214</v>
      </c>
      <c r="AG1215">
        <v>0.18</v>
      </c>
      <c r="AH1215">
        <v>0.33600000000000002</v>
      </c>
      <c r="AI1215">
        <v>0.248</v>
      </c>
      <c r="AJ1215">
        <v>0.113</v>
      </c>
      <c r="AK1215">
        <v>9.2999999999999999E-2</v>
      </c>
      <c r="AL1215">
        <v>0.11</v>
      </c>
      <c r="AM1215">
        <v>8.5999999999999993E-2</v>
      </c>
      <c r="AN1215">
        <v>0.106</v>
      </c>
      <c r="AO1215">
        <v>0.13400000000000001</v>
      </c>
      <c r="AP1215">
        <v>0.10299999999999999</v>
      </c>
      <c r="AQ1215">
        <v>0.14499999999999999</v>
      </c>
      <c r="AR1215">
        <v>0.153</v>
      </c>
      <c r="AS1215">
        <v>0.185</v>
      </c>
      <c r="AT1215">
        <v>0.16400000000000001</v>
      </c>
      <c r="AU1215">
        <v>0.121</v>
      </c>
      <c r="AV1215">
        <v>0.27100000000000002</v>
      </c>
      <c r="AW1215">
        <v>0.20300000000000001</v>
      </c>
      <c r="AX1215">
        <v>9.5000000000000001E-2</v>
      </c>
      <c r="AY1215">
        <v>8.1000000000000003E-2</v>
      </c>
      <c r="BD12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196.41600000000003</v>
      </c>
      <c r="BE12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177.40800000000002</v>
      </c>
      <c r="BF12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196.41600000000003</v>
      </c>
      <c r="BG12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190.07999999999998</v>
      </c>
      <c r="BH12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196.41600000000003</v>
      </c>
      <c r="BI12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190.07999999999998</v>
      </c>
      <c r="BJ12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196.41600000000003</v>
      </c>
      <c r="BK12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196.41600000000003</v>
      </c>
      <c r="BL12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190.07999999999998</v>
      </c>
      <c r="BM12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196.41600000000003</v>
      </c>
      <c r="BN12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190.07999999999998</v>
      </c>
      <c r="BO12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196.41600000000003</v>
      </c>
      <c r="BP1215">
        <f>SUM(Таб[[#This Row],[1]:[12]])</f>
        <v>2312.6400000000003</v>
      </c>
    </row>
    <row r="1216" spans="2:68" ht="25.5">
      <c r="B1216" t="s">
        <v>2715</v>
      </c>
      <c r="C1216" t="str">
        <f>IF(Таб[[#This Row],[Потужність, МВт]]&lt;0.2,"Мікро",IF(Таб[[#This Row],[Потужність, МВт]]&lt;1,"Міні","Мала"))</f>
        <v>Мікро</v>
      </c>
      <c r="G1216" s="1" t="s">
        <v>2761</v>
      </c>
      <c r="H1216" t="s">
        <v>172</v>
      </c>
      <c r="I1216" t="s">
        <v>2767</v>
      </c>
      <c r="J1216" s="22">
        <v>0.13200000000000001</v>
      </c>
      <c r="K1216" s="12"/>
      <c r="L1216" s="12">
        <v>41284</v>
      </c>
      <c r="M1216">
        <v>1</v>
      </c>
      <c r="N1216" s="49" t="s">
        <v>67</v>
      </c>
      <c r="O1216">
        <v>2013</v>
      </c>
      <c r="P1216">
        <v>0.1163</v>
      </c>
      <c r="Q1216" s="10"/>
      <c r="R1216" s="11">
        <f>ROUND(Таб[[#This Row],[Зелений Тариф ЕЦ]]+Таб[[#This Row],[Зелений Тариф ЕЦ]]*Таб[[#This Row],[% надбавки]],4)</f>
        <v>0.1163</v>
      </c>
      <c r="S1216" s="12"/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BD12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32.408639999999998</v>
      </c>
      <c r="BE12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29.272320000000001</v>
      </c>
      <c r="BF12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32.408639999999998</v>
      </c>
      <c r="BG12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31.363199999999999</v>
      </c>
      <c r="BH12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32.408639999999998</v>
      </c>
      <c r="BI12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31.363199999999999</v>
      </c>
      <c r="BJ12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32.408639999999998</v>
      </c>
      <c r="BK12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32.408639999999998</v>
      </c>
      <c r="BL12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31.363199999999999</v>
      </c>
      <c r="BM12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32.408639999999998</v>
      </c>
      <c r="BN12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31.363199999999999</v>
      </c>
      <c r="BO12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32.408639999999998</v>
      </c>
      <c r="BP1216">
        <f>SUM(Таб[[#This Row],[1]:[12]])</f>
        <v>381.58559999999994</v>
      </c>
    </row>
    <row r="1217" spans="2:68" ht="25.5">
      <c r="B1217" t="s">
        <v>2715</v>
      </c>
      <c r="C1217" t="str">
        <f>IF(Таб[[#This Row],[Потужність, МВт]]&lt;0.2,"Мікро",IF(Таб[[#This Row],[Потужність, МВт]]&lt;1,"Міні","Мала"))</f>
        <v>Міні</v>
      </c>
      <c r="G1217" s="1" t="s">
        <v>2769</v>
      </c>
      <c r="H1217" t="s">
        <v>233</v>
      </c>
      <c r="I1217" t="s">
        <v>2771</v>
      </c>
      <c r="J1217" s="22">
        <v>0.996</v>
      </c>
      <c r="K1217" s="12"/>
      <c r="L1217" s="12">
        <v>42586</v>
      </c>
      <c r="M1217">
        <v>8</v>
      </c>
      <c r="N1217" s="49" t="s">
        <v>60</v>
      </c>
      <c r="O1217">
        <v>2016</v>
      </c>
      <c r="P1217">
        <v>0.13950000000000001</v>
      </c>
      <c r="Q1217" s="10"/>
      <c r="R1217" s="11">
        <f>ROUND(Таб[[#This Row],[Зелений Тариф ЕЦ]]+Таб[[#This Row],[Зелений Тариф ЕЦ]]*Таб[[#This Row],[% надбавки]],4)</f>
        <v>0.13950000000000001</v>
      </c>
      <c r="S1217" s="12"/>
      <c r="T1217">
        <v>0.121</v>
      </c>
      <c r="U1217">
        <v>0.40800000000000003</v>
      </c>
      <c r="V1217">
        <v>0.66099999999999992</v>
      </c>
      <c r="W1217">
        <v>0.65500000000000003</v>
      </c>
      <c r="X1217">
        <v>0.65800000000000014</v>
      </c>
      <c r="Y1217">
        <v>0.60999999999999988</v>
      </c>
      <c r="Z1217">
        <v>0.49699999999999989</v>
      </c>
      <c r="AA1217">
        <v>0.19100000000000028</v>
      </c>
      <c r="AB1217">
        <v>0.41899999999999959</v>
      </c>
      <c r="AC1217">
        <v>0.30900000000000016</v>
      </c>
      <c r="AD1217">
        <v>0.59499999999999975</v>
      </c>
      <c r="AE1217">
        <v>0.63500000000000068</v>
      </c>
      <c r="AF1217">
        <v>0.49299999999999999</v>
      </c>
      <c r="AG1217">
        <v>0.33500000000000002</v>
      </c>
      <c r="AH1217">
        <v>0.49299999999999999</v>
      </c>
      <c r="AI1217">
        <v>0.65800000000000003</v>
      </c>
      <c r="AJ1217">
        <v>0.58299999999999996</v>
      </c>
      <c r="AK1217">
        <v>0.503</v>
      </c>
      <c r="AL1217">
        <v>0.56899999999999995</v>
      </c>
      <c r="AM1217">
        <v>0.23599999999999999</v>
      </c>
      <c r="AN1217">
        <v>0.21199999999999999</v>
      </c>
      <c r="AO1217">
        <v>0.125</v>
      </c>
      <c r="AP1217">
        <v>0.155</v>
      </c>
      <c r="AQ1217">
        <v>0.16600000000000001</v>
      </c>
      <c r="AR1217">
        <v>0.245</v>
      </c>
      <c r="AS1217">
        <v>0.51800000000000002</v>
      </c>
      <c r="AT1217">
        <v>1.085</v>
      </c>
      <c r="AU1217">
        <v>1.3420000000000001</v>
      </c>
      <c r="AV1217">
        <v>1.3280000000000001</v>
      </c>
      <c r="AW1217">
        <v>1.1439999999999999</v>
      </c>
      <c r="AX1217">
        <v>0.77900000000000003</v>
      </c>
      <c r="AY1217">
        <v>0.627</v>
      </c>
      <c r="BD12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244.53792000000001</v>
      </c>
      <c r="BE12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220.87296000000003</v>
      </c>
      <c r="BF12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244.53792000000001</v>
      </c>
      <c r="BG12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236.64960000000002</v>
      </c>
      <c r="BH12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244.53792000000001</v>
      </c>
      <c r="BI12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236.64960000000002</v>
      </c>
      <c r="BJ12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244.53792000000001</v>
      </c>
      <c r="BK12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244.53792000000001</v>
      </c>
      <c r="BL12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236.64960000000002</v>
      </c>
      <c r="BM12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244.53792000000001</v>
      </c>
      <c r="BN12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236.64960000000002</v>
      </c>
      <c r="BO12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244.53792000000001</v>
      </c>
      <c r="BP1217">
        <f>SUM(Таб[[#This Row],[1]:[12]])</f>
        <v>2879.2368000000006</v>
      </c>
    </row>
    <row r="1218" spans="2:68" ht="25.5">
      <c r="B1218" t="s">
        <v>2715</v>
      </c>
      <c r="C1218" t="str">
        <f>IF(Таб[[#This Row],[Потужність, МВт]]&lt;0.2,"Мікро",IF(Таб[[#This Row],[Потужність, МВт]]&lt;1,"Міні","Мала"))</f>
        <v>Міні</v>
      </c>
      <c r="G1218" s="1" t="s">
        <v>2769</v>
      </c>
      <c r="H1218" t="s">
        <v>233</v>
      </c>
      <c r="I1218" t="s">
        <v>2771</v>
      </c>
      <c r="J1218" s="22">
        <v>0.996</v>
      </c>
      <c r="K1218" s="12"/>
      <c r="L1218" s="12">
        <v>43448</v>
      </c>
      <c r="M1218">
        <v>12</v>
      </c>
      <c r="N1218" s="49" t="s">
        <v>71</v>
      </c>
      <c r="O1218">
        <v>2018</v>
      </c>
      <c r="P1218">
        <v>0.13950000000000001</v>
      </c>
      <c r="Q1218" s="10"/>
      <c r="R1218" s="11">
        <f>ROUND(Таб[[#This Row],[Зелений Тариф ЕЦ]]+Таб[[#This Row],[Зелений Тариф ЕЦ]]*Таб[[#This Row],[% надбавки]],4)</f>
        <v>0.13950000000000001</v>
      </c>
      <c r="S1218" s="12"/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0.161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BD12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244.53792000000001</v>
      </c>
      <c r="BE12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220.87296000000003</v>
      </c>
      <c r="BF12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244.53792000000001</v>
      </c>
      <c r="BG12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236.64960000000002</v>
      </c>
      <c r="BH12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244.53792000000001</v>
      </c>
      <c r="BI12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236.64960000000002</v>
      </c>
      <c r="BJ12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244.53792000000001</v>
      </c>
      <c r="BK12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244.53792000000001</v>
      </c>
      <c r="BL12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236.64960000000002</v>
      </c>
      <c r="BM12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244.53792000000001</v>
      </c>
      <c r="BN12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236.64960000000002</v>
      </c>
      <c r="BO12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244.53792000000001</v>
      </c>
      <c r="BP1218">
        <f>SUM(Таб[[#This Row],[1]:[12]])</f>
        <v>2879.2368000000006</v>
      </c>
    </row>
    <row r="1219" spans="2:68" ht="38.25">
      <c r="B1219" t="s">
        <v>2715</v>
      </c>
      <c r="C1219" t="str">
        <f>IF(Таб[[#This Row],[Потужність, МВт]]&lt;0.2,"Мікро",IF(Таб[[#This Row],[Потужність, МВт]]&lt;1,"Міні","Мала"))</f>
        <v>Міні</v>
      </c>
      <c r="G1219" s="1" t="s">
        <v>2775</v>
      </c>
      <c r="H1219" t="s">
        <v>163</v>
      </c>
      <c r="I1219" t="s">
        <v>720</v>
      </c>
      <c r="J1219" s="22">
        <v>0.22</v>
      </c>
      <c r="K1219" s="12"/>
      <c r="L1219" s="12">
        <v>41998</v>
      </c>
      <c r="M1219">
        <v>12</v>
      </c>
      <c r="N1219" s="49" t="s">
        <v>71</v>
      </c>
      <c r="O1219">
        <v>2014</v>
      </c>
      <c r="P1219">
        <v>0.15509999999999999</v>
      </c>
      <c r="Q1219" s="10"/>
      <c r="R1219" s="11">
        <f>ROUND(Таб[[#This Row],[Зелений Тариф ЕЦ]]+Таб[[#This Row],[Зелений Тариф ЕЦ]]*Таб[[#This Row],[% надбавки]],4)</f>
        <v>0.15509999999999999</v>
      </c>
      <c r="S1219" s="12"/>
      <c r="T1219">
        <v>2.8000000000000001E-2</v>
      </c>
      <c r="U1219">
        <v>0.06</v>
      </c>
      <c r="V1219">
        <v>0.157</v>
      </c>
      <c r="W1219">
        <v>5.2999999999999992E-2</v>
      </c>
      <c r="X1219">
        <v>9.000000000000008E-3</v>
      </c>
      <c r="Y1219">
        <v>9.000000000000008E-3</v>
      </c>
      <c r="Z1219">
        <v>0</v>
      </c>
      <c r="AA1219">
        <v>4.0000000000000036E-3</v>
      </c>
      <c r="AB1219">
        <v>0</v>
      </c>
      <c r="AC1219">
        <v>2.6999999999999968E-2</v>
      </c>
      <c r="AD1219">
        <v>5.5000000000000049E-2</v>
      </c>
      <c r="AE1219">
        <v>5.6999999999999995E-2</v>
      </c>
      <c r="AF1219">
        <v>5.8000000000000003E-2</v>
      </c>
      <c r="AG1219">
        <v>5.5E-2</v>
      </c>
      <c r="AH1219">
        <v>8.4000000000000005E-2</v>
      </c>
      <c r="AI1219">
        <v>8.6999999999999994E-2</v>
      </c>
      <c r="AJ1219">
        <v>2.3E-2</v>
      </c>
      <c r="AK1219">
        <v>5.0000000000000001E-3</v>
      </c>
      <c r="AL1219">
        <v>8.9999999999999993E-3</v>
      </c>
      <c r="AM1219">
        <v>3.0000000000000001E-3</v>
      </c>
      <c r="AN1219">
        <v>1.2999999999999999E-2</v>
      </c>
      <c r="AO1219">
        <v>8.2000000000000003E-2</v>
      </c>
      <c r="AP1219">
        <v>7.8E-2</v>
      </c>
      <c r="AQ1219">
        <v>4.3999999999999997E-2</v>
      </c>
      <c r="AR1219">
        <v>4.1000000000000002E-2</v>
      </c>
      <c r="AS1219">
        <v>9.7000000000000003E-2</v>
      </c>
      <c r="AT1219">
        <v>8.6999999999999994E-2</v>
      </c>
      <c r="AU1219">
        <v>5.5E-2</v>
      </c>
      <c r="AV1219">
        <v>3.4000000000000002E-2</v>
      </c>
      <c r="AW1219">
        <v>8.7999999999999995E-2</v>
      </c>
      <c r="AX1219">
        <v>1E-3</v>
      </c>
      <c r="AY1219">
        <v>5.0000000000000001E-3</v>
      </c>
      <c r="BD12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54.014399999999995</v>
      </c>
      <c r="BE12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48.787199999999999</v>
      </c>
      <c r="BF12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54.014399999999995</v>
      </c>
      <c r="BG12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52.271999999999998</v>
      </c>
      <c r="BH12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54.014399999999995</v>
      </c>
      <c r="BI12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52.271999999999998</v>
      </c>
      <c r="BJ12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54.014399999999995</v>
      </c>
      <c r="BK12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54.014399999999995</v>
      </c>
      <c r="BL12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52.271999999999998</v>
      </c>
      <c r="BM12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54.014399999999995</v>
      </c>
      <c r="BN12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52.271999999999998</v>
      </c>
      <c r="BO12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54.014399999999995</v>
      </c>
      <c r="BP1219">
        <f>SUM(Таб[[#This Row],[1]:[12]])</f>
        <v>635.976</v>
      </c>
    </row>
    <row r="1220" spans="2:68" ht="38.25">
      <c r="B1220" t="s">
        <v>2715</v>
      </c>
      <c r="C1220" t="str">
        <f>IF(Таб[[#This Row],[Потужність, МВт]]&lt;0.2,"Мікро",IF(Таб[[#This Row],[Потужність, МВт]]&lt;1,"Міні","Мала"))</f>
        <v>Міні</v>
      </c>
      <c r="G1220" s="1" t="s">
        <v>2775</v>
      </c>
      <c r="H1220" t="s">
        <v>163</v>
      </c>
      <c r="I1220" t="s">
        <v>720</v>
      </c>
      <c r="J1220" s="22">
        <v>0.22</v>
      </c>
      <c r="K1220" s="12"/>
      <c r="L1220" s="12">
        <v>41998</v>
      </c>
      <c r="M1220">
        <v>12</v>
      </c>
      <c r="N1220" s="49" t="s">
        <v>71</v>
      </c>
      <c r="O1220">
        <v>2014</v>
      </c>
      <c r="P1220">
        <v>0.15509999999999999</v>
      </c>
      <c r="Q1220" s="10"/>
      <c r="R1220" s="11">
        <f>ROUND(Таб[[#This Row],[Зелений Тариф ЕЦ]]+Таб[[#This Row],[Зелений Тариф ЕЦ]]*Таб[[#This Row],[% надбавки]],4)</f>
        <v>0.15509999999999999</v>
      </c>
      <c r="S1220" s="12"/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BD12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54.014399999999995</v>
      </c>
      <c r="BE12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48.787199999999999</v>
      </c>
      <c r="BF12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54.014399999999995</v>
      </c>
      <c r="BG12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52.271999999999998</v>
      </c>
      <c r="BH12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54.014399999999995</v>
      </c>
      <c r="BI12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52.271999999999998</v>
      </c>
      <c r="BJ12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54.014399999999995</v>
      </c>
      <c r="BK12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54.014399999999995</v>
      </c>
      <c r="BL12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52.271999999999998</v>
      </c>
      <c r="BM12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54.014399999999995</v>
      </c>
      <c r="BN12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52.271999999999998</v>
      </c>
      <c r="BO12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54.014399999999995</v>
      </c>
      <c r="BP1220">
        <f>SUM(Таб[[#This Row],[1]:[12]])</f>
        <v>635.976</v>
      </c>
    </row>
    <row r="1221" spans="2:68" ht="38.25">
      <c r="B1221" t="s">
        <v>2715</v>
      </c>
      <c r="C1221" t="str">
        <f>IF(Таб[[#This Row],[Потужність, МВт]]&lt;0.2,"Мікро",IF(Таб[[#This Row],[Потужність, МВт]]&lt;1,"Міні","Мала"))</f>
        <v>Мікро</v>
      </c>
      <c r="G1221" s="1" t="s">
        <v>2782</v>
      </c>
      <c r="H1221" t="s">
        <v>198</v>
      </c>
      <c r="I1221" t="s">
        <v>516</v>
      </c>
      <c r="J1221" s="22">
        <v>0.19400000000000001</v>
      </c>
      <c r="K1221" s="12"/>
      <c r="L1221" s="12">
        <v>42712</v>
      </c>
      <c r="M1221">
        <v>12</v>
      </c>
      <c r="N1221" s="49" t="s">
        <v>71</v>
      </c>
      <c r="O1221">
        <v>2016</v>
      </c>
      <c r="P1221">
        <v>0.17449999999999999</v>
      </c>
      <c r="Q1221" s="10"/>
      <c r="R1221" s="11">
        <f>ROUND(Таб[[#This Row],[Зелений Тариф ЕЦ]]+Таб[[#This Row],[Зелений Тариф ЕЦ]]*Таб[[#This Row],[% надбавки]],4)</f>
        <v>0.17449999999999999</v>
      </c>
      <c r="S1221" s="12"/>
      <c r="T1221">
        <v>0</v>
      </c>
      <c r="U1221">
        <v>3.5999999999999997E-2</v>
      </c>
      <c r="V1221">
        <v>8.7999999999999995E-2</v>
      </c>
      <c r="W1221">
        <v>6.4000000000000001E-2</v>
      </c>
      <c r="X1221">
        <v>5.1999999999999991E-2</v>
      </c>
      <c r="Y1221">
        <v>4.0000000000000036E-2</v>
      </c>
      <c r="Z1221">
        <v>2.6999999999999968E-2</v>
      </c>
      <c r="AA1221">
        <v>2.5000000000000022E-2</v>
      </c>
      <c r="AB1221">
        <v>3.7999999999999978E-2</v>
      </c>
      <c r="AC1221">
        <v>6.3E-2</v>
      </c>
      <c r="AD1221">
        <v>6.8000000000000005E-2</v>
      </c>
      <c r="AE1221">
        <v>6.899999999999995E-2</v>
      </c>
      <c r="AF1221">
        <v>5.8999999999999997E-2</v>
      </c>
      <c r="AG1221">
        <v>5.0999999999999997E-2</v>
      </c>
      <c r="AH1221">
        <v>8.7999999999999995E-2</v>
      </c>
      <c r="AI1221">
        <v>6.2E-2</v>
      </c>
      <c r="AJ1221">
        <v>3.4000000000000002E-2</v>
      </c>
      <c r="AK1221">
        <v>0.03</v>
      </c>
      <c r="AL1221">
        <v>6.3E-2</v>
      </c>
      <c r="AM1221">
        <v>3.9E-2</v>
      </c>
      <c r="AN1221">
        <v>4.1000000000000002E-2</v>
      </c>
      <c r="AO1221">
        <v>6.9000000000000006E-2</v>
      </c>
      <c r="AP1221">
        <v>6.6000000000000003E-2</v>
      </c>
      <c r="AQ1221">
        <v>5.8999999999999997E-2</v>
      </c>
      <c r="AR1221">
        <v>5.7000000000000002E-2</v>
      </c>
      <c r="AS1221">
        <v>7.0000000000000007E-2</v>
      </c>
      <c r="AT1221">
        <v>5.8999999999999997E-2</v>
      </c>
      <c r="AU1221">
        <v>4.8000000000000001E-2</v>
      </c>
      <c r="AV1221">
        <v>7.6999999999999999E-2</v>
      </c>
      <c r="AW1221">
        <v>8.2000000000000003E-2</v>
      </c>
      <c r="AX1221">
        <v>4.2999999999999997E-2</v>
      </c>
      <c r="AY1221">
        <v>3.5999999999999997E-2</v>
      </c>
      <c r="BD12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47.630880000000005</v>
      </c>
      <c r="BE12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43.021440000000005</v>
      </c>
      <c r="BF12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47.630880000000005</v>
      </c>
      <c r="BG12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46.094400000000007</v>
      </c>
      <c r="BH12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47.630880000000005</v>
      </c>
      <c r="BI12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46.094400000000007</v>
      </c>
      <c r="BJ12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47.630880000000005</v>
      </c>
      <c r="BK12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47.630880000000005</v>
      </c>
      <c r="BL12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46.094400000000007</v>
      </c>
      <c r="BM12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47.630880000000005</v>
      </c>
      <c r="BN12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46.094400000000007</v>
      </c>
      <c r="BO12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47.630880000000005</v>
      </c>
      <c r="BP1221">
        <f>SUM(Таб[[#This Row],[1]:[12]])</f>
        <v>560.81520000000012</v>
      </c>
    </row>
    <row r="1222" spans="2:68" ht="38.25">
      <c r="B1222" t="s">
        <v>2715</v>
      </c>
      <c r="C1222" t="str">
        <f>IF(Таб[[#This Row],[Потужність, МВт]]&lt;0.2,"Мікро",IF(Таб[[#This Row],[Потужність, МВт]]&lt;1,"Міні","Мала"))</f>
        <v>Мікро</v>
      </c>
      <c r="G1222" s="1" t="s">
        <v>2786</v>
      </c>
      <c r="H1222" t="s">
        <v>73</v>
      </c>
      <c r="I1222" t="s">
        <v>2788</v>
      </c>
      <c r="J1222" s="22">
        <v>0.14499999999999999</v>
      </c>
      <c r="K1222" s="12"/>
      <c r="L1222" s="12">
        <v>42831</v>
      </c>
      <c r="M1222">
        <v>4</v>
      </c>
      <c r="N1222" s="49" t="s">
        <v>57</v>
      </c>
      <c r="O1222">
        <v>2017</v>
      </c>
      <c r="P1222">
        <v>0.17449999999999999</v>
      </c>
      <c r="Q1222" s="10">
        <v>0.1</v>
      </c>
      <c r="R1222" s="11">
        <f>ROUND(Таб[[#This Row],[Зелений Тариф ЕЦ]]+Таб[[#This Row],[Зелений Тариф ЕЦ]]*Таб[[#This Row],[% надбавки]],4)</f>
        <v>0.192</v>
      </c>
      <c r="S1222" s="12">
        <v>42831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8.0000000000000002E-3</v>
      </c>
      <c r="AC1222">
        <v>2.5000000000000001E-2</v>
      </c>
      <c r="AD1222">
        <v>2.5000000000000001E-2</v>
      </c>
      <c r="AE1222">
        <v>2.3E-2</v>
      </c>
      <c r="AF1222">
        <v>4.1000000000000002E-2</v>
      </c>
      <c r="AG1222">
        <v>6.8000000000000005E-2</v>
      </c>
      <c r="AH1222">
        <v>8.3000000000000004E-2</v>
      </c>
      <c r="AI1222">
        <v>7.9000000000000001E-2</v>
      </c>
      <c r="AJ1222">
        <v>0.08</v>
      </c>
      <c r="AK1222">
        <v>9.6000000000000002E-2</v>
      </c>
      <c r="AL1222">
        <v>9.8000000000000004E-2</v>
      </c>
      <c r="AM1222">
        <v>0.04</v>
      </c>
      <c r="AN1222">
        <v>8.9999999999999993E-3</v>
      </c>
      <c r="AO1222">
        <v>1.0999999999999999E-2</v>
      </c>
      <c r="AP1222">
        <v>1.4999999999999999E-2</v>
      </c>
      <c r="AQ1222">
        <v>3.9E-2</v>
      </c>
      <c r="AR1222">
        <v>5.2999999999999999E-2</v>
      </c>
      <c r="AS1222">
        <v>9.2999999999999999E-2</v>
      </c>
      <c r="AT1222">
        <v>5.8000000000000003E-2</v>
      </c>
      <c r="AU1222">
        <v>8.7999999999999995E-2</v>
      </c>
      <c r="AV1222">
        <v>9.8000000000000004E-2</v>
      </c>
      <c r="AW1222">
        <v>9.4E-2</v>
      </c>
      <c r="AX1222">
        <v>0.1</v>
      </c>
      <c r="AY1222">
        <v>5.3999999999999999E-2</v>
      </c>
      <c r="BD12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35.6004</v>
      </c>
      <c r="BE12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32.155199999999994</v>
      </c>
      <c r="BF12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35.6004</v>
      </c>
      <c r="BG12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34.451999999999998</v>
      </c>
      <c r="BH12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35.6004</v>
      </c>
      <c r="BI12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34.451999999999998</v>
      </c>
      <c r="BJ12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35.6004</v>
      </c>
      <c r="BK12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35.6004</v>
      </c>
      <c r="BL12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34.451999999999998</v>
      </c>
      <c r="BM12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35.6004</v>
      </c>
      <c r="BN12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34.451999999999998</v>
      </c>
      <c r="BO12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35.6004</v>
      </c>
      <c r="BP1222">
        <f>SUM(Таб[[#This Row],[1]:[12]])</f>
        <v>419.16599999999994</v>
      </c>
    </row>
    <row r="1223" spans="2:68" ht="51">
      <c r="B1223" t="s">
        <v>2715</v>
      </c>
      <c r="C1223" t="str">
        <f>IF(Таб[[#This Row],[Потужність, МВт]]&lt;0.2,"Мікро",IF(Таб[[#This Row],[Потужність, МВт]]&lt;1,"Міні","Мала"))</f>
        <v>Мала</v>
      </c>
      <c r="G1223" s="1" t="s">
        <v>2790</v>
      </c>
      <c r="H1223" t="s">
        <v>185</v>
      </c>
      <c r="I1223" t="s">
        <v>2792</v>
      </c>
      <c r="J1223" s="22">
        <v>4.048</v>
      </c>
      <c r="K1223" s="12"/>
      <c r="L1223" s="12">
        <v>40483</v>
      </c>
      <c r="M1223">
        <v>11</v>
      </c>
      <c r="N1223" s="49" t="s">
        <v>71</v>
      </c>
      <c r="O1223">
        <v>2010</v>
      </c>
      <c r="P1223">
        <v>0.1163</v>
      </c>
      <c r="Q1223" s="10"/>
      <c r="R1223" s="11">
        <f>ROUND(Таб[[#This Row],[Зелений Тариф ЕЦ]]+Таб[[#This Row],[Зелений Тариф ЕЦ]]*Таб[[#This Row],[% надбавки]],4)</f>
        <v>0.1163</v>
      </c>
      <c r="S1223" s="12"/>
      <c r="T1223">
        <v>1.4730000000000001</v>
      </c>
      <c r="U1223">
        <v>2.0270000000000001</v>
      </c>
      <c r="V1223">
        <v>2.4219999999999997</v>
      </c>
      <c r="W1223">
        <v>2.1079999999999997</v>
      </c>
      <c r="X1223">
        <v>1.891</v>
      </c>
      <c r="Y1223">
        <v>1.3060000000000009</v>
      </c>
      <c r="Z1223">
        <v>1.3650000000000002</v>
      </c>
      <c r="AA1223">
        <v>1.3620000000000001</v>
      </c>
      <c r="AB1223">
        <v>1.266</v>
      </c>
      <c r="AC1223">
        <v>1.2939999999999987</v>
      </c>
      <c r="AD1223">
        <v>1.282</v>
      </c>
      <c r="AE1223">
        <v>1.5019999999999989</v>
      </c>
      <c r="AF1223">
        <v>2.3679999999999999</v>
      </c>
      <c r="AG1223">
        <v>2.016</v>
      </c>
      <c r="AH1223">
        <v>2.206</v>
      </c>
      <c r="AI1223">
        <v>1.829</v>
      </c>
      <c r="AJ1223">
        <v>2.6259999999999999</v>
      </c>
      <c r="AK1223">
        <v>1.954</v>
      </c>
      <c r="AL1223">
        <v>1.353</v>
      </c>
      <c r="AM1223">
        <v>1.518</v>
      </c>
      <c r="AN1223">
        <v>1.502</v>
      </c>
      <c r="AO1223">
        <v>2.0059999999999998</v>
      </c>
      <c r="AP1223">
        <v>2.5590000000000002</v>
      </c>
      <c r="AQ1223">
        <v>2.302</v>
      </c>
      <c r="AR1223">
        <v>2.0449999999999999</v>
      </c>
      <c r="AS1223">
        <v>1.861</v>
      </c>
      <c r="AT1223">
        <v>2.548</v>
      </c>
      <c r="AU1223">
        <v>1.395</v>
      </c>
      <c r="AV1223">
        <v>1.387</v>
      </c>
      <c r="AW1223">
        <v>1.054</v>
      </c>
      <c r="AX1223">
        <v>1.5309999999999999</v>
      </c>
      <c r="AY1223">
        <v>1.528</v>
      </c>
      <c r="BD12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993.86496000000011</v>
      </c>
      <c r="BE12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897.68448000000001</v>
      </c>
      <c r="BF12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993.86496000000011</v>
      </c>
      <c r="BG12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961.80480000000011</v>
      </c>
      <c r="BH12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993.86496000000011</v>
      </c>
      <c r="BI12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961.80480000000011</v>
      </c>
      <c r="BJ12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993.86496000000011</v>
      </c>
      <c r="BK12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993.86496000000011</v>
      </c>
      <c r="BL12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961.80480000000011</v>
      </c>
      <c r="BM12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993.86496000000011</v>
      </c>
      <c r="BN12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961.80480000000011</v>
      </c>
      <c r="BO12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993.86496000000011</v>
      </c>
      <c r="BP1223">
        <f>SUM(Таб[[#This Row],[1]:[12]])</f>
        <v>11701.958400000001</v>
      </c>
    </row>
    <row r="1224" spans="2:68" ht="63.75">
      <c r="B1224" t="s">
        <v>2715</v>
      </c>
      <c r="C1224" t="str">
        <f>IF(Таб[[#This Row],[Потужність, МВт]]&lt;0.2,"Мікро",IF(Таб[[#This Row],[Потужність, МВт]]&lt;1,"Міні","Мала"))</f>
        <v>Міні</v>
      </c>
      <c r="G1224" s="1" t="s">
        <v>2793</v>
      </c>
      <c r="H1224" t="s">
        <v>172</v>
      </c>
      <c r="I1224" t="s">
        <v>2795</v>
      </c>
      <c r="J1224" s="22">
        <v>0.312</v>
      </c>
      <c r="K1224" s="12"/>
      <c r="L1224" s="12">
        <v>41599</v>
      </c>
      <c r="M1224">
        <v>11</v>
      </c>
      <c r="N1224" s="49" t="s">
        <v>71</v>
      </c>
      <c r="O1224">
        <v>2013</v>
      </c>
      <c r="P1224">
        <v>0.1163</v>
      </c>
      <c r="Q1224" s="10"/>
      <c r="R1224" s="11">
        <f>ROUND(Таб[[#This Row],[Зелений Тариф ЕЦ]]+Таб[[#This Row],[Зелений Тариф ЕЦ]]*Таб[[#This Row],[% надбавки]],4)</f>
        <v>0.1163</v>
      </c>
      <c r="S1224" s="12"/>
      <c r="T1224">
        <v>4.5999999999999999E-2</v>
      </c>
      <c r="U1224">
        <v>6.9000000000000006E-2</v>
      </c>
      <c r="V1224">
        <v>0.14800000000000002</v>
      </c>
      <c r="W1224">
        <v>6.4000000000000001E-2</v>
      </c>
      <c r="X1224">
        <v>4.3999999999999984E-2</v>
      </c>
      <c r="Y1224">
        <v>3.5000000000000031E-2</v>
      </c>
      <c r="Z1224">
        <v>2.4999999999999967E-2</v>
      </c>
      <c r="AA1224">
        <v>2.200000000000002E-2</v>
      </c>
      <c r="AB1224">
        <v>3.7999999999999978E-2</v>
      </c>
      <c r="AC1224">
        <v>6.4000000000000057E-2</v>
      </c>
      <c r="AD1224">
        <v>5.699999999999994E-2</v>
      </c>
      <c r="AE1224">
        <v>5.5000000000000049E-2</v>
      </c>
      <c r="AF1224">
        <v>5.8000000000000003E-2</v>
      </c>
      <c r="AG1224">
        <v>5.7000000000000002E-2</v>
      </c>
      <c r="AH1224">
        <v>9.8000000000000004E-2</v>
      </c>
      <c r="AI1224">
        <v>0.10199999999999999</v>
      </c>
      <c r="AJ1224">
        <v>3.9E-2</v>
      </c>
      <c r="AK1224">
        <v>3.5999999999999997E-2</v>
      </c>
      <c r="AL1224">
        <v>6.0999999999999999E-2</v>
      </c>
      <c r="AM1224">
        <v>3.3000000000000002E-2</v>
      </c>
      <c r="AN1224">
        <v>2.4E-2</v>
      </c>
      <c r="AO1224">
        <v>5.5E-2</v>
      </c>
      <c r="AP1224">
        <v>0.04</v>
      </c>
      <c r="AQ1224">
        <v>4.7E-2</v>
      </c>
      <c r="AR1224">
        <v>5.7000000000000002E-2</v>
      </c>
      <c r="AS1224">
        <v>7.8E-2</v>
      </c>
      <c r="AT1224">
        <v>8.8999999999999996E-2</v>
      </c>
      <c r="AU1224">
        <v>5.8000000000000003E-2</v>
      </c>
      <c r="AV1224">
        <v>0.13500000000000001</v>
      </c>
      <c r="AW1224">
        <v>0.13600000000000001</v>
      </c>
      <c r="AX1224">
        <v>6.8000000000000005E-2</v>
      </c>
      <c r="AY1224">
        <v>5.1999999999999998E-2</v>
      </c>
      <c r="BD12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76.602240000000009</v>
      </c>
      <c r="BE12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69.189120000000003</v>
      </c>
      <c r="BF12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76.602240000000009</v>
      </c>
      <c r="BG12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74.131200000000007</v>
      </c>
      <c r="BH12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76.602240000000009</v>
      </c>
      <c r="BI12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74.131200000000007</v>
      </c>
      <c r="BJ12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76.602240000000009</v>
      </c>
      <c r="BK12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76.602240000000009</v>
      </c>
      <c r="BL12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74.131200000000007</v>
      </c>
      <c r="BM12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76.602240000000009</v>
      </c>
      <c r="BN12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74.131200000000007</v>
      </c>
      <c r="BO12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76.602240000000009</v>
      </c>
      <c r="BP1224">
        <f>SUM(Таб[[#This Row],[1]:[12]])</f>
        <v>901.92960000000028</v>
      </c>
    </row>
    <row r="1225" spans="2:68" ht="63.75">
      <c r="B1225" t="s">
        <v>2715</v>
      </c>
      <c r="C1225" t="str">
        <f>IF(Таб[[#This Row],[Потужність, МВт]]&lt;0.2,"Мікро",IF(Таб[[#This Row],[Потужність, МВт]]&lt;1,"Міні","Мала"))</f>
        <v>Мікро</v>
      </c>
      <c r="G1225" s="1" t="s">
        <v>2793</v>
      </c>
      <c r="H1225" t="s">
        <v>172</v>
      </c>
      <c r="I1225" t="s">
        <v>2797</v>
      </c>
      <c r="J1225" s="22">
        <v>0.19600000000000001</v>
      </c>
      <c r="K1225" s="12"/>
      <c r="L1225" s="12">
        <v>42026</v>
      </c>
      <c r="M1225">
        <v>1</v>
      </c>
      <c r="N1225" s="49" t="s">
        <v>67</v>
      </c>
      <c r="O1225">
        <v>2015</v>
      </c>
      <c r="P1225">
        <v>0.19389999999999999</v>
      </c>
      <c r="Q1225" s="10"/>
      <c r="R1225" s="11">
        <f>ROUND(Таб[[#This Row],[Зелений Тариф ЕЦ]]+Таб[[#This Row],[Зелений Тариф ЕЦ]]*Таб[[#This Row],[% надбавки]],4)</f>
        <v>0.19389999999999999</v>
      </c>
      <c r="S1225" s="12"/>
      <c r="T1225">
        <v>8.5000000000000006E-2</v>
      </c>
      <c r="U1225">
        <v>7.8E-2</v>
      </c>
      <c r="V1225">
        <v>0.11300000000000002</v>
      </c>
      <c r="W1225">
        <v>9.4999999999999973E-2</v>
      </c>
      <c r="X1225">
        <v>8.4000000000000019E-2</v>
      </c>
      <c r="Y1225">
        <v>5.4999999999999993E-2</v>
      </c>
      <c r="Z1225">
        <v>4.8000000000000043E-2</v>
      </c>
      <c r="AA1225">
        <v>4.0999999999999925E-2</v>
      </c>
      <c r="AB1225">
        <v>6.800000000000006E-2</v>
      </c>
      <c r="AC1225">
        <v>8.9999999999999969E-2</v>
      </c>
      <c r="AD1225">
        <v>9.099999999999997E-2</v>
      </c>
      <c r="AE1225">
        <v>0.10499999999999998</v>
      </c>
      <c r="AF1225">
        <v>0.114</v>
      </c>
      <c r="AG1225">
        <v>0.106</v>
      </c>
      <c r="AH1225">
        <v>0.126</v>
      </c>
      <c r="AI1225">
        <v>0.11600000000000001</v>
      </c>
      <c r="AJ1225">
        <v>7.3999999999999996E-2</v>
      </c>
      <c r="AK1225">
        <v>5.1999999999999998E-2</v>
      </c>
      <c r="AL1225">
        <v>6.8000000000000005E-2</v>
      </c>
      <c r="AM1225">
        <v>0.06</v>
      </c>
      <c r="AN1225">
        <v>6.8000000000000005E-2</v>
      </c>
      <c r="AO1225">
        <v>8.3000000000000004E-2</v>
      </c>
      <c r="AP1225">
        <v>7.8E-2</v>
      </c>
      <c r="AQ1225">
        <v>9.7000000000000003E-2</v>
      </c>
      <c r="AR1225">
        <v>0.107</v>
      </c>
      <c r="AS1225">
        <v>0.125</v>
      </c>
      <c r="AT1225">
        <v>0.11799999999999999</v>
      </c>
      <c r="AU1225">
        <v>9.0999999999999998E-2</v>
      </c>
      <c r="AV1225">
        <v>0.158</v>
      </c>
      <c r="AW1225">
        <v>0.129</v>
      </c>
      <c r="AX1225">
        <v>0.08</v>
      </c>
      <c r="AY1225">
        <v>6.5000000000000002E-2</v>
      </c>
      <c r="BD12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48.121920000000003</v>
      </c>
      <c r="BE12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43.464959999999998</v>
      </c>
      <c r="BF12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48.121920000000003</v>
      </c>
      <c r="BG12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46.569600000000001</v>
      </c>
      <c r="BH12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48.121920000000003</v>
      </c>
      <c r="BI12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46.569600000000001</v>
      </c>
      <c r="BJ12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48.121920000000003</v>
      </c>
      <c r="BK12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48.121920000000003</v>
      </c>
      <c r="BL12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46.569600000000001</v>
      </c>
      <c r="BM12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48.121920000000003</v>
      </c>
      <c r="BN12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46.569600000000001</v>
      </c>
      <c r="BO12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48.121920000000003</v>
      </c>
      <c r="BP1225">
        <f>SUM(Таб[[#This Row],[1]:[12]])</f>
        <v>566.59680000000003</v>
      </c>
    </row>
    <row r="1226" spans="2:68" ht="63.75">
      <c r="B1226" t="s">
        <v>2715</v>
      </c>
      <c r="C1226" t="str">
        <f>IF(Таб[[#This Row],[Потужність, МВт]]&lt;0.2,"Мікро",IF(Таб[[#This Row],[Потужність, МВт]]&lt;1,"Міні","Мала"))</f>
        <v>Мікро</v>
      </c>
      <c r="G1226" s="1" t="s">
        <v>2793</v>
      </c>
      <c r="H1226" t="s">
        <v>172</v>
      </c>
      <c r="I1226" t="s">
        <v>2801</v>
      </c>
      <c r="J1226" s="22">
        <v>0.125</v>
      </c>
      <c r="K1226" s="12"/>
      <c r="L1226" s="12">
        <v>41943</v>
      </c>
      <c r="M1226">
        <v>10</v>
      </c>
      <c r="N1226" s="49" t="s">
        <v>71</v>
      </c>
      <c r="O1226">
        <v>2014</v>
      </c>
      <c r="P1226">
        <v>0.19389999999999999</v>
      </c>
      <c r="Q1226" s="10"/>
      <c r="R1226" s="11">
        <f>ROUND(Таб[[#This Row],[Зелений Тариф ЕЦ]]+Таб[[#This Row],[Зелений Тариф ЕЦ]]*Таб[[#This Row],[% надбавки]],4)</f>
        <v>0.19389999999999999</v>
      </c>
      <c r="S1226" s="12"/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BD12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30.69</v>
      </c>
      <c r="BE12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27.72</v>
      </c>
      <c r="BF12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30.69</v>
      </c>
      <c r="BG12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29.700000000000003</v>
      </c>
      <c r="BH12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30.69</v>
      </c>
      <c r="BI12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29.700000000000003</v>
      </c>
      <c r="BJ12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30.69</v>
      </c>
      <c r="BK12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30.69</v>
      </c>
      <c r="BL12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29.700000000000003</v>
      </c>
      <c r="BM12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30.69</v>
      </c>
      <c r="BN12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29.700000000000003</v>
      </c>
      <c r="BO12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30.69</v>
      </c>
      <c r="BP1226">
        <f>SUM(Таб[[#This Row],[1]:[12]])</f>
        <v>361.34999999999997</v>
      </c>
    </row>
    <row r="1227" spans="2:68" ht="63.75">
      <c r="B1227" t="s">
        <v>2715</v>
      </c>
      <c r="C1227" t="str">
        <f>IF(Таб[[#This Row],[Потужність, МВт]]&lt;0.2,"Мікро",IF(Таб[[#This Row],[Потужність, МВт]]&lt;1,"Міні","Мала"))</f>
        <v>Міні</v>
      </c>
      <c r="G1227" s="1" t="s">
        <v>2793</v>
      </c>
      <c r="H1227" t="s">
        <v>172</v>
      </c>
      <c r="I1227" t="s">
        <v>2801</v>
      </c>
      <c r="J1227" s="22">
        <v>0.35</v>
      </c>
      <c r="K1227" s="12"/>
      <c r="L1227" s="12">
        <v>41730</v>
      </c>
      <c r="M1227">
        <v>4</v>
      </c>
      <c r="N1227" s="49" t="s">
        <v>57</v>
      </c>
      <c r="O1227">
        <v>2014</v>
      </c>
      <c r="P1227">
        <v>0.15509999999999999</v>
      </c>
      <c r="Q1227" s="10"/>
      <c r="R1227" s="11">
        <f>ROUND(Таб[[#This Row],[Зелений Тариф ЕЦ]]+Таб[[#This Row],[Зелений Тариф ЕЦ]]*Таб[[#This Row],[% надбавки]],4)</f>
        <v>0.15509999999999999</v>
      </c>
      <c r="S1227" s="12"/>
      <c r="T1227">
        <v>3.5000000000000003E-2</v>
      </c>
      <c r="U1227">
        <v>0.06</v>
      </c>
      <c r="V1227">
        <v>0.128</v>
      </c>
      <c r="W1227">
        <v>4.6000000000000013E-2</v>
      </c>
      <c r="X1227">
        <v>4.4999999999999984E-2</v>
      </c>
      <c r="Y1227">
        <v>2.9999999999999971E-2</v>
      </c>
      <c r="Z1227">
        <v>2.7000000000000024E-2</v>
      </c>
      <c r="AA1227">
        <v>2.1000000000000019E-2</v>
      </c>
      <c r="AB1227">
        <v>3.5999999999999976E-2</v>
      </c>
      <c r="AC1227">
        <v>5.2999999999999992E-2</v>
      </c>
      <c r="AD1227">
        <v>5.2000000000000046E-2</v>
      </c>
      <c r="AE1227">
        <v>4.9999999999999933E-2</v>
      </c>
      <c r="AF1227">
        <v>4.2999999999999997E-2</v>
      </c>
      <c r="AG1227">
        <v>3.9E-2</v>
      </c>
      <c r="AH1227">
        <v>8.7999999999999995E-2</v>
      </c>
      <c r="AI1227">
        <v>8.4000000000000005E-2</v>
      </c>
      <c r="AJ1227">
        <v>3.9E-2</v>
      </c>
      <c r="AK1227">
        <v>3.5999999999999997E-2</v>
      </c>
      <c r="AL1227">
        <v>5.5E-2</v>
      </c>
      <c r="AM1227">
        <v>3.7999999999999999E-2</v>
      </c>
      <c r="AN1227">
        <v>2.8000000000000001E-2</v>
      </c>
      <c r="AO1227">
        <v>5.0999999999999997E-2</v>
      </c>
      <c r="AP1227">
        <v>4.2000000000000003E-2</v>
      </c>
      <c r="AQ1227">
        <v>4.7E-2</v>
      </c>
      <c r="AR1227">
        <v>5.7000000000000002E-2</v>
      </c>
      <c r="AS1227">
        <v>6.6000000000000003E-2</v>
      </c>
      <c r="AT1227">
        <v>6.5000000000000002E-2</v>
      </c>
      <c r="AU1227">
        <v>5.2999999999999999E-2</v>
      </c>
      <c r="AV1227">
        <v>0.16300000000000001</v>
      </c>
      <c r="AW1227">
        <v>0.16300000000000001</v>
      </c>
      <c r="AX1227">
        <v>8.1000000000000003E-2</v>
      </c>
      <c r="AY1227">
        <v>6.3E-2</v>
      </c>
      <c r="BD12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85.931999999999988</v>
      </c>
      <c r="BE12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77.616</v>
      </c>
      <c r="BF12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85.931999999999988</v>
      </c>
      <c r="BG12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83.16</v>
      </c>
      <c r="BH12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85.931999999999988</v>
      </c>
      <c r="BI12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83.16</v>
      </c>
      <c r="BJ12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85.931999999999988</v>
      </c>
      <c r="BK12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85.931999999999988</v>
      </c>
      <c r="BL12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83.16</v>
      </c>
      <c r="BM12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85.931999999999988</v>
      </c>
      <c r="BN12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83.16</v>
      </c>
      <c r="BO12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85.931999999999988</v>
      </c>
      <c r="BP1227">
        <f>SUM(Таб[[#This Row],[1]:[12]])</f>
        <v>1011.78</v>
      </c>
    </row>
    <row r="1228" spans="2:68" ht="38.25">
      <c r="B1228" t="s">
        <v>2715</v>
      </c>
      <c r="C1228" t="str">
        <f>IF(Таб[[#This Row],[Потужність, МВт]]&lt;0.2,"Мікро",IF(Таб[[#This Row],[Потужність, МВт]]&lt;1,"Міні","Мала"))</f>
        <v>Мікро</v>
      </c>
      <c r="G1228" s="1" t="s">
        <v>2806</v>
      </c>
      <c r="H1228" t="s">
        <v>198</v>
      </c>
      <c r="I1228" t="s">
        <v>2808</v>
      </c>
      <c r="J1228" s="22">
        <v>0.185</v>
      </c>
      <c r="K1228" s="12"/>
      <c r="L1228" s="12">
        <v>40664</v>
      </c>
      <c r="M1228">
        <v>5</v>
      </c>
      <c r="N1228" s="49" t="s">
        <v>57</v>
      </c>
      <c r="O1228">
        <v>2011</v>
      </c>
      <c r="P1228">
        <v>0.1163</v>
      </c>
      <c r="Q1228" s="10"/>
      <c r="R1228" s="11">
        <f>ROUND(Таб[[#This Row],[Зелений Тариф ЕЦ]]+Таб[[#This Row],[Зелений Тариф ЕЦ]]*Таб[[#This Row],[% надбавки]],4)</f>
        <v>0.1163</v>
      </c>
      <c r="S1228" s="12"/>
      <c r="T1228">
        <v>0.05</v>
      </c>
      <c r="U1228">
        <v>5.1000000000000004E-2</v>
      </c>
      <c r="V1228">
        <v>7.8999999999999987E-2</v>
      </c>
      <c r="W1228">
        <v>3.8000000000000006E-2</v>
      </c>
      <c r="X1228">
        <v>3.2000000000000001E-2</v>
      </c>
      <c r="Y1228">
        <v>3.1000000000000028E-2</v>
      </c>
      <c r="Z1228">
        <v>1.9999999999999962E-2</v>
      </c>
      <c r="AA1228">
        <v>1.8000000000000016E-2</v>
      </c>
      <c r="AB1228">
        <v>3.6999999999999977E-2</v>
      </c>
      <c r="AC1228">
        <v>6.3E-2</v>
      </c>
      <c r="AD1228">
        <v>6.6000000000000003E-2</v>
      </c>
      <c r="AE1228">
        <v>5.4000000000000048E-2</v>
      </c>
      <c r="AF1228">
        <v>4.9000000000000002E-2</v>
      </c>
      <c r="AG1228">
        <v>0.04</v>
      </c>
      <c r="AH1228">
        <v>7.1999999999999995E-2</v>
      </c>
      <c r="AI1228">
        <v>3.7999999999999999E-2</v>
      </c>
      <c r="AJ1228">
        <v>2.1999999999999999E-2</v>
      </c>
      <c r="AK1228">
        <v>0.02</v>
      </c>
      <c r="AL1228">
        <v>5.0999999999999997E-2</v>
      </c>
      <c r="AM1228">
        <v>4.2000000000000003E-2</v>
      </c>
      <c r="AN1228">
        <v>4.1000000000000002E-2</v>
      </c>
      <c r="AO1228">
        <v>6.6000000000000003E-2</v>
      </c>
      <c r="AP1228">
        <v>6.0999999999999999E-2</v>
      </c>
      <c r="AQ1228">
        <v>5.2999999999999999E-2</v>
      </c>
      <c r="AR1228">
        <v>5.0999999999999997E-2</v>
      </c>
      <c r="AS1228">
        <v>5.8000000000000003E-2</v>
      </c>
      <c r="AT1228">
        <v>4.3999999999999997E-2</v>
      </c>
      <c r="AU1228">
        <v>2.9000000000000001E-2</v>
      </c>
      <c r="AV1228">
        <v>5.8999999999999997E-2</v>
      </c>
      <c r="AW1228">
        <v>6.4000000000000001E-2</v>
      </c>
      <c r="AX1228">
        <v>3.5000000000000003E-2</v>
      </c>
      <c r="AY1228">
        <v>2.5000000000000001E-2</v>
      </c>
      <c r="BD12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45.421199999999999</v>
      </c>
      <c r="BE12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41.025599999999997</v>
      </c>
      <c r="BF12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45.421199999999999</v>
      </c>
      <c r="BG12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43.955999999999996</v>
      </c>
      <c r="BH12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45.421199999999999</v>
      </c>
      <c r="BI12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43.955999999999996</v>
      </c>
      <c r="BJ12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45.421199999999999</v>
      </c>
      <c r="BK12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45.421199999999999</v>
      </c>
      <c r="BL12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43.955999999999996</v>
      </c>
      <c r="BM12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45.421199999999999</v>
      </c>
      <c r="BN12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43.955999999999996</v>
      </c>
      <c r="BO12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45.421199999999999</v>
      </c>
      <c r="BP1228">
        <f>SUM(Таб[[#This Row],[1]:[12]])</f>
        <v>534.798</v>
      </c>
    </row>
    <row r="1229" spans="2:68" ht="38.25">
      <c r="B1229" t="s">
        <v>2715</v>
      </c>
      <c r="C1229" t="str">
        <f>IF(Таб[[#This Row],[Потужність, МВт]]&lt;0.2,"Мікро",IF(Таб[[#This Row],[Потужність, МВт]]&lt;1,"Міні","Мала"))</f>
        <v>Мікро</v>
      </c>
      <c r="G1229" s="1" t="s">
        <v>2806</v>
      </c>
      <c r="H1229" t="s">
        <v>198</v>
      </c>
      <c r="I1229" t="s">
        <v>1978</v>
      </c>
      <c r="J1229" s="22">
        <v>0.185</v>
      </c>
      <c r="K1229" s="12"/>
      <c r="L1229" s="12">
        <v>42698</v>
      </c>
      <c r="M1229">
        <v>11</v>
      </c>
      <c r="N1229" s="49" t="s">
        <v>71</v>
      </c>
      <c r="O1229">
        <v>2016</v>
      </c>
      <c r="P1229">
        <v>0.17449999999999999</v>
      </c>
      <c r="Q1229" s="10">
        <v>0.05</v>
      </c>
      <c r="R1229" s="11">
        <f>ROUND(Таб[[#This Row],[Зелений Тариф ЕЦ]]+Таб[[#This Row],[Зелений Тариф ЕЦ]]*Таб[[#This Row],[% надбавки]],4)</f>
        <v>0.1832</v>
      </c>
      <c r="S1229" s="12">
        <v>42759</v>
      </c>
      <c r="T1229">
        <v>4.8000000000000001E-2</v>
      </c>
      <c r="U1229">
        <v>4.5999999999999999E-2</v>
      </c>
      <c r="V1229">
        <v>0.1</v>
      </c>
      <c r="W1229">
        <v>0.06</v>
      </c>
      <c r="X1229">
        <v>4.8999999999999988E-2</v>
      </c>
      <c r="Y1229">
        <v>3.1000000000000028E-2</v>
      </c>
      <c r="Z1229">
        <v>1.699999999999996E-2</v>
      </c>
      <c r="AA1229">
        <v>1.5000000000000013E-2</v>
      </c>
      <c r="AB1229">
        <v>2.200000000000002E-2</v>
      </c>
      <c r="AC1229">
        <v>5.7999999999999996E-2</v>
      </c>
      <c r="AD1229">
        <v>7.2000000000000008E-2</v>
      </c>
      <c r="AE1229">
        <v>3.5000000000000031E-2</v>
      </c>
      <c r="AF1229">
        <v>3.2000000000000001E-2</v>
      </c>
      <c r="AG1229">
        <v>4.1000000000000002E-2</v>
      </c>
      <c r="AH1229">
        <v>6.8000000000000005E-2</v>
      </c>
      <c r="AI1229">
        <v>5.3999999999999999E-2</v>
      </c>
      <c r="AJ1229">
        <v>3.4000000000000002E-2</v>
      </c>
      <c r="AK1229">
        <v>1.2999999999999999E-2</v>
      </c>
      <c r="AL1229">
        <v>3.6999999999999998E-2</v>
      </c>
      <c r="AM1229">
        <v>2.1000000000000001E-2</v>
      </c>
      <c r="AN1229">
        <v>1.4999999999999999E-2</v>
      </c>
      <c r="AO1229">
        <v>5.1999999999999998E-2</v>
      </c>
      <c r="AP1229">
        <v>7.4999999999999997E-2</v>
      </c>
      <c r="AQ1229">
        <v>4.5999999999999999E-2</v>
      </c>
      <c r="AR1229">
        <v>3.9E-2</v>
      </c>
      <c r="AS1229">
        <v>5.1999999999999998E-2</v>
      </c>
      <c r="AT1229">
        <v>4.5999999999999999E-2</v>
      </c>
      <c r="AU1229">
        <v>0.04</v>
      </c>
      <c r="AV1229">
        <v>6.6000000000000003E-2</v>
      </c>
      <c r="AW1229">
        <v>0.10100000000000001</v>
      </c>
      <c r="AX1229">
        <v>5.6000000000000001E-2</v>
      </c>
      <c r="AY1229">
        <v>2.1000000000000001E-2</v>
      </c>
      <c r="BD12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45.421199999999999</v>
      </c>
      <c r="BE12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41.025599999999997</v>
      </c>
      <c r="BF12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45.421199999999999</v>
      </c>
      <c r="BG12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43.955999999999996</v>
      </c>
      <c r="BH12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45.421199999999999</v>
      </c>
      <c r="BI12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43.955999999999996</v>
      </c>
      <c r="BJ12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45.421199999999999</v>
      </c>
      <c r="BK12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45.421199999999999</v>
      </c>
      <c r="BL12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43.955999999999996</v>
      </c>
      <c r="BM12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45.421199999999999</v>
      </c>
      <c r="BN12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43.955999999999996</v>
      </c>
      <c r="BO12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45.421199999999999</v>
      </c>
      <c r="BP1229">
        <f>SUM(Таб[[#This Row],[1]:[12]])</f>
        <v>534.798</v>
      </c>
    </row>
    <row r="1230" spans="2:68" ht="38.25">
      <c r="B1230" t="s">
        <v>2715</v>
      </c>
      <c r="C1230" t="str">
        <f>IF(Таб[[#This Row],[Потужність, МВт]]&lt;0.2,"Мікро",IF(Таб[[#This Row],[Потужність, МВт]]&lt;1,"Міні","Мала"))</f>
        <v>Міні</v>
      </c>
      <c r="D1230" t="s">
        <v>3372</v>
      </c>
      <c r="F1230" t="s">
        <v>3287</v>
      </c>
      <c r="G1230" s="1" t="s">
        <v>2813</v>
      </c>
      <c r="H1230" t="s">
        <v>1658</v>
      </c>
      <c r="I1230" t="s">
        <v>2815</v>
      </c>
      <c r="J1230" s="22">
        <v>0.25</v>
      </c>
      <c r="K1230" s="12"/>
      <c r="L1230" s="12">
        <v>41319</v>
      </c>
      <c r="M1230">
        <v>2</v>
      </c>
      <c r="N1230" s="49" t="s">
        <v>67</v>
      </c>
      <c r="O1230">
        <v>2013</v>
      </c>
      <c r="P1230">
        <v>0.1163</v>
      </c>
      <c r="Q1230" s="10"/>
      <c r="R1230" s="11">
        <f>ROUND(Таб[[#This Row],[Зелений Тариф ЕЦ]]+Таб[[#This Row],[Зелений Тариф ЕЦ]]*Таб[[#This Row],[% надбавки]],4)</f>
        <v>0.1163</v>
      </c>
      <c r="S1230" s="12"/>
      <c r="T1230">
        <v>2.1440000000000001</v>
      </c>
      <c r="U1230">
        <v>3.1959999999999997</v>
      </c>
      <c r="V1230">
        <v>5.2919999999999998</v>
      </c>
      <c r="W1230">
        <v>3.0090000000000003</v>
      </c>
      <c r="X1230">
        <v>1.3200000000000003</v>
      </c>
      <c r="Y1230">
        <v>0.55799999999999983</v>
      </c>
      <c r="Z1230">
        <v>0.5080000000000009</v>
      </c>
      <c r="AA1230">
        <v>0.24399999999999977</v>
      </c>
      <c r="AB1230">
        <v>0.72299999999999898</v>
      </c>
      <c r="AC1230">
        <v>1.6640000000000015</v>
      </c>
      <c r="AD1230">
        <v>2.3019999999999996</v>
      </c>
      <c r="AE1230">
        <v>2.7910000000000004</v>
      </c>
      <c r="AF1230">
        <v>2.8650000000000002</v>
      </c>
      <c r="AG1230">
        <v>2.75</v>
      </c>
      <c r="AH1230">
        <v>5.3440000000000003</v>
      </c>
      <c r="AI1230">
        <v>4.3319999999999999</v>
      </c>
      <c r="AJ1230">
        <v>1.2470000000000001</v>
      </c>
      <c r="AK1230">
        <v>0.96799999999999997</v>
      </c>
      <c r="AL1230">
        <v>1.31</v>
      </c>
      <c r="AM1230">
        <v>0.98699999999999999</v>
      </c>
      <c r="AN1230">
        <v>1.26</v>
      </c>
      <c r="AO1230">
        <v>2.6669999999999998</v>
      </c>
      <c r="AP1230">
        <v>3.105</v>
      </c>
      <c r="AQ1230">
        <v>2.556</v>
      </c>
      <c r="AR1230">
        <v>2.7370000000000001</v>
      </c>
      <c r="AS1230">
        <v>3.8719999999999999</v>
      </c>
      <c r="AT1230">
        <v>3.246</v>
      </c>
      <c r="AU1230">
        <v>2.1269999999999998</v>
      </c>
      <c r="AV1230">
        <v>3.5710000000000002</v>
      </c>
      <c r="AW1230">
        <v>3.7490000000000001</v>
      </c>
      <c r="AX1230">
        <v>1.0760000000000001</v>
      </c>
      <c r="AY1230">
        <v>0.65400000000000003</v>
      </c>
      <c r="BD12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61.38</v>
      </c>
      <c r="BE12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55.44</v>
      </c>
      <c r="BF12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61.38</v>
      </c>
      <c r="BG12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59.400000000000006</v>
      </c>
      <c r="BH12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61.38</v>
      </c>
      <c r="BI12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59.400000000000006</v>
      </c>
      <c r="BJ12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61.38</v>
      </c>
      <c r="BK12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61.38</v>
      </c>
      <c r="BL12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59.400000000000006</v>
      </c>
      <c r="BM12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61.38</v>
      </c>
      <c r="BN12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59.400000000000006</v>
      </c>
      <c r="BO12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61.38</v>
      </c>
      <c r="BP1230">
        <f>SUM(Таб[[#This Row],[1]:[12]])</f>
        <v>722.69999999999993</v>
      </c>
    </row>
    <row r="1231" spans="2:68" ht="38.25">
      <c r="B1231" t="s">
        <v>2715</v>
      </c>
      <c r="C1231" t="str">
        <f>IF(Таб[[#This Row],[Потужність, МВт]]&lt;0.2,"Мікро",IF(Таб[[#This Row],[Потужність, МВт]]&lt;1,"Міні","Мала"))</f>
        <v>Мала</v>
      </c>
      <c r="D1231" t="s">
        <v>3372</v>
      </c>
      <c r="F1231" t="s">
        <v>3287</v>
      </c>
      <c r="G1231" s="1" t="s">
        <v>2813</v>
      </c>
      <c r="H1231" t="s">
        <v>136</v>
      </c>
      <c r="I1231" t="s">
        <v>2818</v>
      </c>
      <c r="J1231" s="22">
        <v>7.8179999999999996</v>
      </c>
      <c r="K1231" s="12"/>
      <c r="L1231" s="12">
        <v>40969</v>
      </c>
      <c r="M1231">
        <v>3</v>
      </c>
      <c r="N1231" s="49" t="s">
        <v>67</v>
      </c>
      <c r="O1231">
        <v>2012</v>
      </c>
      <c r="P1231">
        <v>0.1163</v>
      </c>
      <c r="Q1231" s="10"/>
      <c r="R1231" s="11">
        <f>ROUND(Таб[[#This Row],[Зелений Тариф ЕЦ]]+Таб[[#This Row],[Зелений Тариф ЕЦ]]*Таб[[#This Row],[% надбавки]],4)</f>
        <v>0.1163</v>
      </c>
      <c r="S1231" s="12"/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BD12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1919.4753600000004</v>
      </c>
      <c r="BE12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1733.7196800000002</v>
      </c>
      <c r="BF12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1919.4753600000004</v>
      </c>
      <c r="BG12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1857.5568000000001</v>
      </c>
      <c r="BH12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1919.4753600000004</v>
      </c>
      <c r="BI12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1857.5568000000001</v>
      </c>
      <c r="BJ12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1919.4753600000004</v>
      </c>
      <c r="BK12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1919.4753600000004</v>
      </c>
      <c r="BL12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1857.5568000000001</v>
      </c>
      <c r="BM12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1919.4753600000004</v>
      </c>
      <c r="BN12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1857.5568000000001</v>
      </c>
      <c r="BO12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1919.4753600000004</v>
      </c>
      <c r="BP1231">
        <f>SUM(Таб[[#This Row],[1]:[12]])</f>
        <v>22600.274400000002</v>
      </c>
    </row>
    <row r="1232" spans="2:68" ht="38.25">
      <c r="B1232" t="s">
        <v>2715</v>
      </c>
      <c r="C1232" t="str">
        <f>IF(Таб[[#This Row],[Потужність, МВт]]&lt;0.2,"Мікро",IF(Таб[[#This Row],[Потужність, МВт]]&lt;1,"Міні","Мала"))</f>
        <v>Мала</v>
      </c>
      <c r="D1232" t="s">
        <v>3372</v>
      </c>
      <c r="F1232" t="s">
        <v>3287</v>
      </c>
      <c r="G1232" s="1" t="s">
        <v>2813</v>
      </c>
      <c r="H1232" t="s">
        <v>136</v>
      </c>
      <c r="I1232" t="s">
        <v>575</v>
      </c>
      <c r="J1232" s="22">
        <v>3.6</v>
      </c>
      <c r="K1232" s="12"/>
      <c r="L1232" s="12">
        <v>40969</v>
      </c>
      <c r="M1232">
        <v>3</v>
      </c>
      <c r="N1232" s="49" t="s">
        <v>67</v>
      </c>
      <c r="O1232">
        <v>2012</v>
      </c>
      <c r="P1232">
        <v>0.1163</v>
      </c>
      <c r="Q1232" s="10"/>
      <c r="R1232" s="11">
        <f>ROUND(Таб[[#This Row],[Зелений Тариф ЕЦ]]+Таб[[#This Row],[Зелений Тариф ЕЦ]]*Таб[[#This Row],[% надбавки]],4)</f>
        <v>0.1163</v>
      </c>
      <c r="S1232" s="12"/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BD12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883.87200000000007</v>
      </c>
      <c r="BE12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798.33600000000001</v>
      </c>
      <c r="BF12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883.87200000000007</v>
      </c>
      <c r="BG12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855.36000000000013</v>
      </c>
      <c r="BH12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883.87200000000007</v>
      </c>
      <c r="BI12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855.36000000000013</v>
      </c>
      <c r="BJ12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883.87200000000007</v>
      </c>
      <c r="BK12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883.87200000000007</v>
      </c>
      <c r="BL12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855.36000000000013</v>
      </c>
      <c r="BM12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883.87200000000007</v>
      </c>
      <c r="BN12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855.36000000000013</v>
      </c>
      <c r="BO12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883.87200000000007</v>
      </c>
      <c r="BP1232">
        <f>SUM(Таб[[#This Row],[1]:[12]])</f>
        <v>10406.880000000001</v>
      </c>
    </row>
    <row r="1233" spans="2:68" ht="38.25">
      <c r="B1233" t="s">
        <v>2715</v>
      </c>
      <c r="C1233" t="str">
        <f>IF(Таб[[#This Row],[Потужність, МВт]]&lt;0.2,"Мікро",IF(Таб[[#This Row],[Потужність, МВт]]&lt;1,"Міні","Мала"))</f>
        <v>Мала</v>
      </c>
      <c r="D1233" t="s">
        <v>3372</v>
      </c>
      <c r="F1233" t="s">
        <v>3287</v>
      </c>
      <c r="G1233" s="1" t="s">
        <v>2813</v>
      </c>
      <c r="H1233" t="s">
        <v>198</v>
      </c>
      <c r="I1233" t="s">
        <v>2823</v>
      </c>
      <c r="J1233" s="22">
        <v>1.9</v>
      </c>
      <c r="K1233" s="12"/>
      <c r="L1233" s="12">
        <v>40969</v>
      </c>
      <c r="M1233">
        <v>3</v>
      </c>
      <c r="N1233" s="49" t="s">
        <v>67</v>
      </c>
      <c r="O1233">
        <v>2012</v>
      </c>
      <c r="P1233">
        <v>0.1163</v>
      </c>
      <c r="Q1233" s="10"/>
      <c r="R1233" s="11">
        <f>ROUND(Таб[[#This Row],[Зелений Тариф ЕЦ]]+Таб[[#This Row],[Зелений Тариф ЕЦ]]*Таб[[#This Row],[% надбавки]],4)</f>
        <v>0.1163</v>
      </c>
      <c r="S1233" s="12"/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BD12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466.48800000000006</v>
      </c>
      <c r="BE12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421.34400000000005</v>
      </c>
      <c r="BF12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466.48800000000006</v>
      </c>
      <c r="BG12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451.43999999999994</v>
      </c>
      <c r="BH12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466.48800000000006</v>
      </c>
      <c r="BI12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451.43999999999994</v>
      </c>
      <c r="BJ12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466.48800000000006</v>
      </c>
      <c r="BK12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466.48800000000006</v>
      </c>
      <c r="BL12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451.43999999999994</v>
      </c>
      <c r="BM12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466.48800000000006</v>
      </c>
      <c r="BN12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451.43999999999994</v>
      </c>
      <c r="BO12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466.48800000000006</v>
      </c>
      <c r="BP1233">
        <f>SUM(Таб[[#This Row],[1]:[12]])</f>
        <v>5492.52</v>
      </c>
    </row>
    <row r="1234" spans="2:68" ht="38.25">
      <c r="B1234" t="s">
        <v>2715</v>
      </c>
      <c r="C1234" t="str">
        <f>IF(Таб[[#This Row],[Потужність, МВт]]&lt;0.2,"Мікро",IF(Таб[[#This Row],[Потужність, МВт]]&lt;1,"Міні","Мала"))</f>
        <v>Мала</v>
      </c>
      <c r="D1234" t="s">
        <v>3372</v>
      </c>
      <c r="F1234" t="s">
        <v>3287</v>
      </c>
      <c r="G1234" s="1" t="s">
        <v>2813</v>
      </c>
      <c r="H1234" t="s">
        <v>136</v>
      </c>
      <c r="I1234" t="s">
        <v>2827</v>
      </c>
      <c r="J1234" s="22">
        <v>2.04</v>
      </c>
      <c r="K1234" s="12"/>
      <c r="L1234" s="12">
        <v>40969</v>
      </c>
      <c r="M1234">
        <v>3</v>
      </c>
      <c r="N1234" s="49" t="s">
        <v>67</v>
      </c>
      <c r="O1234">
        <v>2012</v>
      </c>
      <c r="P1234">
        <v>0.1163</v>
      </c>
      <c r="Q1234" s="10"/>
      <c r="R1234" s="11">
        <f>ROUND(Таб[[#This Row],[Зелений Тариф ЕЦ]]+Таб[[#This Row],[Зелений Тариф ЕЦ]]*Таб[[#This Row],[% надбавки]],4)</f>
        <v>0.1163</v>
      </c>
      <c r="S1234" s="12"/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BD12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500.86079999999998</v>
      </c>
      <c r="BE12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452.39040000000006</v>
      </c>
      <c r="BF12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500.86079999999998</v>
      </c>
      <c r="BG12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484.70400000000006</v>
      </c>
      <c r="BH12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500.86079999999998</v>
      </c>
      <c r="BI12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484.70400000000006</v>
      </c>
      <c r="BJ12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500.86079999999998</v>
      </c>
      <c r="BK12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500.86079999999998</v>
      </c>
      <c r="BL12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484.70400000000006</v>
      </c>
      <c r="BM12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500.86079999999998</v>
      </c>
      <c r="BN12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484.70400000000006</v>
      </c>
      <c r="BO12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500.86079999999998</v>
      </c>
      <c r="BP1234">
        <f>SUM(Таб[[#This Row],[1]:[12]])</f>
        <v>5897.2320000000009</v>
      </c>
    </row>
    <row r="1235" spans="2:68" ht="38.25">
      <c r="B1235" t="s">
        <v>2715</v>
      </c>
      <c r="C1235" t="str">
        <f>IF(Таб[[#This Row],[Потужність, МВт]]&lt;0.2,"Мікро",IF(Таб[[#This Row],[Потужність, МВт]]&lt;1,"Міні","Мала"))</f>
        <v>Міні</v>
      </c>
      <c r="D1235" t="s">
        <v>3372</v>
      </c>
      <c r="F1235" t="s">
        <v>3287</v>
      </c>
      <c r="G1235" s="1" t="s">
        <v>2813</v>
      </c>
      <c r="H1235" t="s">
        <v>172</v>
      </c>
      <c r="I1235" t="s">
        <v>2829</v>
      </c>
      <c r="J1235" s="22">
        <v>0.5</v>
      </c>
      <c r="K1235" s="12"/>
      <c r="L1235" s="12">
        <v>41606</v>
      </c>
      <c r="M1235">
        <v>11</v>
      </c>
      <c r="N1235" s="49" t="s">
        <v>71</v>
      </c>
      <c r="O1235">
        <v>2013</v>
      </c>
      <c r="P1235">
        <v>0.1163</v>
      </c>
      <c r="Q1235" s="10"/>
      <c r="R1235" s="11">
        <f>ROUND(Таб[[#This Row],[Зелений Тариф ЕЦ]]+Таб[[#This Row],[Зелений Тариф ЕЦ]]*Таб[[#This Row],[% надбавки]],4)</f>
        <v>0.1163</v>
      </c>
      <c r="S1235" s="12"/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BD12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122.76</v>
      </c>
      <c r="BE12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110.88</v>
      </c>
      <c r="BF12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122.76</v>
      </c>
      <c r="BG12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118.80000000000001</v>
      </c>
      <c r="BH12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122.76</v>
      </c>
      <c r="BI12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118.80000000000001</v>
      </c>
      <c r="BJ12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122.76</v>
      </c>
      <c r="BK12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122.76</v>
      </c>
      <c r="BL12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118.80000000000001</v>
      </c>
      <c r="BM12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122.76</v>
      </c>
      <c r="BN12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118.80000000000001</v>
      </c>
      <c r="BO12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122.76</v>
      </c>
      <c r="BP1235">
        <f>SUM(Таб[[#This Row],[1]:[12]])</f>
        <v>1445.3999999999999</v>
      </c>
    </row>
    <row r="1236" spans="2:68" ht="38.25">
      <c r="B1236" t="s">
        <v>2715</v>
      </c>
      <c r="C1236" t="str">
        <f>IF(Таб[[#This Row],[Потужність, МВт]]&lt;0.2,"Мікро",IF(Таб[[#This Row],[Потужність, МВт]]&lt;1,"Міні","Мала"))</f>
        <v>Мала</v>
      </c>
      <c r="D1236" t="s">
        <v>3372</v>
      </c>
      <c r="F1236" t="s">
        <v>3287</v>
      </c>
      <c r="G1236" s="1" t="s">
        <v>2813</v>
      </c>
      <c r="H1236" t="s">
        <v>136</v>
      </c>
      <c r="I1236" t="s">
        <v>2833</v>
      </c>
      <c r="J1236" s="22">
        <v>1.36</v>
      </c>
      <c r="K1236" s="12"/>
      <c r="L1236" s="12">
        <v>40940</v>
      </c>
      <c r="M1236">
        <v>2</v>
      </c>
      <c r="N1236" s="49" t="s">
        <v>67</v>
      </c>
      <c r="O1236">
        <v>2012</v>
      </c>
      <c r="P1236">
        <v>0.1163</v>
      </c>
      <c r="Q1236" s="10"/>
      <c r="R1236" s="11">
        <f>ROUND(Таб[[#This Row],[Зелений Тариф ЕЦ]]+Таб[[#This Row],[Зелений Тариф ЕЦ]]*Таб[[#This Row],[% надбавки]],4)</f>
        <v>0.1163</v>
      </c>
      <c r="S1236" s="12"/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BD12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333.90719999999999</v>
      </c>
      <c r="BE12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301.59360000000004</v>
      </c>
      <c r="BF12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333.90719999999999</v>
      </c>
      <c r="BG12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323.13600000000002</v>
      </c>
      <c r="BH12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333.90719999999999</v>
      </c>
      <c r="BI12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323.13600000000002</v>
      </c>
      <c r="BJ12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333.90719999999999</v>
      </c>
      <c r="BK12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333.90719999999999</v>
      </c>
      <c r="BL12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323.13600000000002</v>
      </c>
      <c r="BM12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333.90719999999999</v>
      </c>
      <c r="BN12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323.13600000000002</v>
      </c>
      <c r="BO12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333.90719999999999</v>
      </c>
      <c r="BP1236">
        <f>SUM(Таб[[#This Row],[1]:[12]])</f>
        <v>3931.4880000000003</v>
      </c>
    </row>
    <row r="1237" spans="2:68" ht="38.25">
      <c r="B1237" t="s">
        <v>2715</v>
      </c>
      <c r="C1237" t="str">
        <f>IF(Таб[[#This Row],[Потужність, МВт]]&lt;0.2,"Мікро",IF(Таб[[#This Row],[Потужність, МВт]]&lt;1,"Міні","Мала"))</f>
        <v>Мікро</v>
      </c>
      <c r="D1237" t="s">
        <v>3372</v>
      </c>
      <c r="F1237" t="s">
        <v>3287</v>
      </c>
      <c r="G1237" s="1" t="s">
        <v>2813</v>
      </c>
      <c r="H1237" t="s">
        <v>136</v>
      </c>
      <c r="I1237" t="s">
        <v>2718</v>
      </c>
      <c r="J1237" s="22">
        <v>0.19600000000000001</v>
      </c>
      <c r="K1237" s="12"/>
      <c r="L1237" s="12">
        <v>42075</v>
      </c>
      <c r="M1237">
        <v>3</v>
      </c>
      <c r="N1237" s="49" t="s">
        <v>67</v>
      </c>
      <c r="O1237">
        <v>2015</v>
      </c>
      <c r="P1237">
        <v>0.19389999999999999</v>
      </c>
      <c r="Q1237" s="10"/>
      <c r="R1237" s="11">
        <f>ROUND(Таб[[#This Row],[Зелений Тариф ЕЦ]]+Таб[[#This Row],[Зелений Тариф ЕЦ]]*Таб[[#This Row],[% надбавки]],4)</f>
        <v>0.19389999999999999</v>
      </c>
      <c r="S1237" s="12"/>
      <c r="T1237">
        <v>0</v>
      </c>
      <c r="U1237">
        <v>0</v>
      </c>
      <c r="V1237">
        <v>0.34399999999999997</v>
      </c>
      <c r="W1237">
        <v>7.9000000000000015E-2</v>
      </c>
      <c r="X1237">
        <v>3.0000000000000027E-2</v>
      </c>
      <c r="Y1237">
        <v>2.4999999999999967E-2</v>
      </c>
      <c r="Z1237">
        <v>1.0000000000000009E-2</v>
      </c>
      <c r="AA1237">
        <v>1.3000000000000012E-2</v>
      </c>
      <c r="AB1237">
        <v>1.3000000000000012E-2</v>
      </c>
      <c r="AC1237">
        <v>4.1000000000000036E-2</v>
      </c>
      <c r="AD1237">
        <v>6.9999999999999951E-2</v>
      </c>
      <c r="AE1237">
        <v>8.7999999999999967E-2</v>
      </c>
      <c r="AF1237">
        <v>9.8000000000000004E-2</v>
      </c>
      <c r="AG1237">
        <v>9.2999999999999999E-2</v>
      </c>
      <c r="AH1237">
        <v>0.159</v>
      </c>
      <c r="AI1237">
        <v>0.127</v>
      </c>
      <c r="AJ1237">
        <v>3.4000000000000002E-2</v>
      </c>
      <c r="AK1237">
        <v>1.7000000000000001E-2</v>
      </c>
      <c r="AL1237">
        <v>2.3E-2</v>
      </c>
      <c r="AM1237">
        <v>1.4E-2</v>
      </c>
      <c r="AN1237">
        <v>2.1000000000000001E-2</v>
      </c>
      <c r="AO1237">
        <v>7.6999999999999999E-2</v>
      </c>
      <c r="AP1237">
        <v>7.4999999999999997E-2</v>
      </c>
      <c r="AQ1237">
        <v>5.8999999999999997E-2</v>
      </c>
      <c r="AR1237">
        <v>5.6000000000000001E-2</v>
      </c>
      <c r="AS1237">
        <v>0.128</v>
      </c>
      <c r="AT1237">
        <v>0.1</v>
      </c>
      <c r="AU1237">
        <v>6.4000000000000001E-2</v>
      </c>
      <c r="AV1237">
        <v>3.6999999999999998E-2</v>
      </c>
      <c r="AW1237">
        <v>0.111</v>
      </c>
      <c r="AX1237">
        <v>8.9999999999999993E-3</v>
      </c>
      <c r="AY1237">
        <v>1.2E-2</v>
      </c>
      <c r="BD12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48.121920000000003</v>
      </c>
      <c r="BE12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43.464959999999998</v>
      </c>
      <c r="BF12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48.121920000000003</v>
      </c>
      <c r="BG12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46.569600000000001</v>
      </c>
      <c r="BH12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48.121920000000003</v>
      </c>
      <c r="BI12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46.569600000000001</v>
      </c>
      <c r="BJ12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48.121920000000003</v>
      </c>
      <c r="BK12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48.121920000000003</v>
      </c>
      <c r="BL12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46.569600000000001</v>
      </c>
      <c r="BM12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48.121920000000003</v>
      </c>
      <c r="BN12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46.569600000000001</v>
      </c>
      <c r="BO12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48.121920000000003</v>
      </c>
      <c r="BP1237">
        <f>SUM(Таб[[#This Row],[1]:[12]])</f>
        <v>566.59680000000003</v>
      </c>
    </row>
    <row r="1238" spans="2:68" ht="38.25">
      <c r="B1238" t="s">
        <v>2715</v>
      </c>
      <c r="C1238" t="str">
        <f>IF(Таб[[#This Row],[Потужність, МВт]]&lt;0.2,"Мікро",IF(Таб[[#This Row],[Потужність, МВт]]&lt;1,"Міні","Мала"))</f>
        <v>Мікро</v>
      </c>
      <c r="D1238" t="s">
        <v>3372</v>
      </c>
      <c r="F1238" t="s">
        <v>3287</v>
      </c>
      <c r="G1238" s="1" t="s">
        <v>2813</v>
      </c>
      <c r="H1238" t="s">
        <v>136</v>
      </c>
      <c r="I1238" t="s">
        <v>2718</v>
      </c>
      <c r="J1238" s="22">
        <v>0.19600000000000001</v>
      </c>
      <c r="K1238" s="12"/>
      <c r="L1238" s="12">
        <v>42222</v>
      </c>
      <c r="M1238">
        <v>8</v>
      </c>
      <c r="N1238" s="49" t="s">
        <v>60</v>
      </c>
      <c r="O1238">
        <v>2015</v>
      </c>
      <c r="P1238">
        <v>0.19389999999999999</v>
      </c>
      <c r="Q1238" s="10"/>
      <c r="R1238" s="11">
        <f>ROUND(Таб[[#This Row],[Зелений Тариф ЕЦ]]+Таб[[#This Row],[Зелений Тариф ЕЦ]]*Таб[[#This Row],[% надбавки]],4)</f>
        <v>0.19389999999999999</v>
      </c>
      <c r="S1238" s="12"/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BD12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48.121920000000003</v>
      </c>
      <c r="BE12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43.464959999999998</v>
      </c>
      <c r="BF12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48.121920000000003</v>
      </c>
      <c r="BG12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46.569600000000001</v>
      </c>
      <c r="BH12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48.121920000000003</v>
      </c>
      <c r="BI12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46.569600000000001</v>
      </c>
      <c r="BJ12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48.121920000000003</v>
      </c>
      <c r="BK12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48.121920000000003</v>
      </c>
      <c r="BL12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46.569600000000001</v>
      </c>
      <c r="BM12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48.121920000000003</v>
      </c>
      <c r="BN12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46.569600000000001</v>
      </c>
      <c r="BO12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48.121920000000003</v>
      </c>
      <c r="BP1238">
        <f>SUM(Таб[[#This Row],[1]:[12]])</f>
        <v>566.59680000000003</v>
      </c>
    </row>
    <row r="1239" spans="2:68" ht="38.25">
      <c r="B1239" t="s">
        <v>2715</v>
      </c>
      <c r="C1239" t="str">
        <f>IF(Таб[[#This Row],[Потужність, МВт]]&lt;0.2,"Мікро",IF(Таб[[#This Row],[Потужність, МВт]]&lt;1,"Міні","Мала"))</f>
        <v>Міні</v>
      </c>
      <c r="D1239" t="s">
        <v>3372</v>
      </c>
      <c r="F1239" t="s">
        <v>3287</v>
      </c>
      <c r="G1239" s="1" t="s">
        <v>2813</v>
      </c>
      <c r="H1239" t="s">
        <v>263</v>
      </c>
      <c r="I1239" t="s">
        <v>2841</v>
      </c>
      <c r="J1239" s="22">
        <v>0.46</v>
      </c>
      <c r="K1239" s="12"/>
      <c r="L1239" s="12">
        <v>42531</v>
      </c>
      <c r="M1239">
        <v>6</v>
      </c>
      <c r="N1239" s="49" t="s">
        <v>57</v>
      </c>
      <c r="O1239">
        <v>2016</v>
      </c>
      <c r="P1239">
        <v>0.13950000000000001</v>
      </c>
      <c r="Q1239" s="10"/>
      <c r="R1239" s="11">
        <f>ROUND(Таб[[#This Row],[Зелений Тариф ЕЦ]]+Таб[[#This Row],[Зелений Тариф ЕЦ]]*Таб[[#This Row],[% надбавки]],4)</f>
        <v>0.13950000000000001</v>
      </c>
      <c r="S1239" s="12"/>
      <c r="T1239">
        <v>0</v>
      </c>
      <c r="U1239">
        <v>0</v>
      </c>
      <c r="V1239">
        <v>0.96399999999999997</v>
      </c>
      <c r="W1239">
        <v>0.44999999999999996</v>
      </c>
      <c r="X1239">
        <v>0.29300000000000015</v>
      </c>
      <c r="Y1239">
        <v>0.16999999999999993</v>
      </c>
      <c r="Z1239">
        <v>0.11899999999999999</v>
      </c>
      <c r="AA1239">
        <v>9.9000000000000199E-2</v>
      </c>
      <c r="AB1239">
        <v>0.121</v>
      </c>
      <c r="AC1239">
        <v>0.22599999999999998</v>
      </c>
      <c r="AD1239">
        <v>0.24099999999999966</v>
      </c>
      <c r="AE1239">
        <v>0.32100000000000017</v>
      </c>
      <c r="AF1239">
        <v>0.379</v>
      </c>
      <c r="AG1239">
        <v>0.38200000000000001</v>
      </c>
      <c r="AH1239">
        <v>0.504</v>
      </c>
      <c r="AI1239">
        <v>0.374</v>
      </c>
      <c r="AJ1239">
        <v>0.20300000000000001</v>
      </c>
      <c r="AK1239">
        <v>0.223</v>
      </c>
      <c r="AL1239">
        <v>0.22500000000000001</v>
      </c>
      <c r="AM1239">
        <v>0.23400000000000001</v>
      </c>
      <c r="AN1239">
        <v>0.18</v>
      </c>
      <c r="AO1239">
        <v>0.28399999999999997</v>
      </c>
      <c r="AP1239">
        <v>0.27700000000000002</v>
      </c>
      <c r="AQ1239">
        <v>0.32</v>
      </c>
      <c r="AR1239">
        <v>0.40500000000000003</v>
      </c>
      <c r="AS1239">
        <v>0.42099999999999999</v>
      </c>
      <c r="AT1239">
        <v>0.315</v>
      </c>
      <c r="AU1239">
        <v>0.27100000000000002</v>
      </c>
      <c r="AV1239">
        <v>0.438</v>
      </c>
      <c r="AW1239">
        <v>0.371</v>
      </c>
      <c r="AX1239">
        <v>0.152</v>
      </c>
      <c r="AY1239">
        <v>9.9000000000000005E-2</v>
      </c>
      <c r="BD12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112.93920000000003</v>
      </c>
      <c r="BE12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102.00960000000002</v>
      </c>
      <c r="BF12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112.93920000000003</v>
      </c>
      <c r="BG12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109.29600000000001</v>
      </c>
      <c r="BH12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112.93920000000003</v>
      </c>
      <c r="BI12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109.29600000000001</v>
      </c>
      <c r="BJ12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112.93920000000003</v>
      </c>
      <c r="BK12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112.93920000000003</v>
      </c>
      <c r="BL12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109.29600000000001</v>
      </c>
      <c r="BM12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112.93920000000003</v>
      </c>
      <c r="BN12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109.29600000000001</v>
      </c>
      <c r="BO12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112.93920000000003</v>
      </c>
      <c r="BP1239">
        <f>SUM(Таб[[#This Row],[1]:[12]])</f>
        <v>1329.7680000000005</v>
      </c>
    </row>
    <row r="1240" spans="2:68" ht="38.25">
      <c r="B1240" t="s">
        <v>2715</v>
      </c>
      <c r="C1240" t="str">
        <f>IF(Таб[[#This Row],[Потужність, МВт]]&lt;0.2,"Мікро",IF(Таб[[#This Row],[Потужність, МВт]]&lt;1,"Міні","Мала"))</f>
        <v>Міні</v>
      </c>
      <c r="D1240" t="s">
        <v>3372</v>
      </c>
      <c r="F1240" t="s">
        <v>3287</v>
      </c>
      <c r="G1240" s="1" t="s">
        <v>2813</v>
      </c>
      <c r="H1240" t="s">
        <v>176</v>
      </c>
      <c r="I1240" t="s">
        <v>2845</v>
      </c>
      <c r="J1240" s="22">
        <v>0.621</v>
      </c>
      <c r="K1240" s="12"/>
      <c r="L1240" s="12">
        <v>42621</v>
      </c>
      <c r="M1240">
        <v>9</v>
      </c>
      <c r="N1240" s="49" t="s">
        <v>60</v>
      </c>
      <c r="O1240">
        <v>2016</v>
      </c>
      <c r="P1240">
        <v>0.13950000000000001</v>
      </c>
      <c r="Q1240" s="10"/>
      <c r="R1240" s="11">
        <f>ROUND(Таб[[#This Row],[Зелений Тариф ЕЦ]]+Таб[[#This Row],[Зелений Тариф ЕЦ]]*Таб[[#This Row],[% надбавки]],4)</f>
        <v>0.13950000000000001</v>
      </c>
      <c r="S1240" s="12"/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BD12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152.46791999999999</v>
      </c>
      <c r="BE12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137.71296000000001</v>
      </c>
      <c r="BF12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152.46791999999999</v>
      </c>
      <c r="BG12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147.5496</v>
      </c>
      <c r="BH12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152.46791999999999</v>
      </c>
      <c r="BI12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147.5496</v>
      </c>
      <c r="BJ12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152.46791999999999</v>
      </c>
      <c r="BK12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152.46791999999999</v>
      </c>
      <c r="BL12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147.5496</v>
      </c>
      <c r="BM12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152.46791999999999</v>
      </c>
      <c r="BN12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147.5496</v>
      </c>
      <c r="BO12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152.46791999999999</v>
      </c>
      <c r="BP1240">
        <f>SUM(Таб[[#This Row],[1]:[12]])</f>
        <v>1795.1868000000004</v>
      </c>
    </row>
    <row r="1241" spans="2:68" ht="38.25">
      <c r="B1241" t="s">
        <v>2715</v>
      </c>
      <c r="C1241" t="str">
        <f>IF(Таб[[#This Row],[Потужність, МВт]]&lt;0.2,"Мікро",IF(Таб[[#This Row],[Потужність, МВт]]&lt;1,"Міні","Мала"))</f>
        <v>Мікро</v>
      </c>
      <c r="D1241" t="s">
        <v>3372</v>
      </c>
      <c r="F1241" t="s">
        <v>3287</v>
      </c>
      <c r="G1241" s="1" t="s">
        <v>2813</v>
      </c>
      <c r="H1241" t="s">
        <v>136</v>
      </c>
      <c r="I1241" t="s">
        <v>2718</v>
      </c>
      <c r="J1241" s="22">
        <v>0.13200000000000001</v>
      </c>
      <c r="K1241" s="12"/>
      <c r="L1241" s="12">
        <v>42551</v>
      </c>
      <c r="M1241">
        <v>6</v>
      </c>
      <c r="N1241" s="49" t="s">
        <v>57</v>
      </c>
      <c r="O1241">
        <v>2016</v>
      </c>
      <c r="P1241">
        <v>0.17449999999999999</v>
      </c>
      <c r="Q1241" s="10"/>
      <c r="R1241" s="11">
        <f>ROUND(Таб[[#This Row],[Зелений Тариф ЕЦ]]+Таб[[#This Row],[Зелений Тариф ЕЦ]]*Таб[[#This Row],[% надбавки]],4)</f>
        <v>0.17449999999999999</v>
      </c>
      <c r="S1241" s="12"/>
      <c r="T1241">
        <v>0</v>
      </c>
      <c r="U1241">
        <v>0</v>
      </c>
      <c r="V1241">
        <v>0.16300000000000001</v>
      </c>
      <c r="W1241">
        <v>3.9000000000000007E-2</v>
      </c>
      <c r="X1241">
        <v>1.4999999999999986E-2</v>
      </c>
      <c r="Y1241">
        <v>1.2000000000000011E-2</v>
      </c>
      <c r="Z1241">
        <v>5.9999999999999776E-3</v>
      </c>
      <c r="AA1241">
        <v>7.0000000000000062E-3</v>
      </c>
      <c r="AB1241">
        <v>5.0000000000000044E-3</v>
      </c>
      <c r="AC1241">
        <v>1.9000000000000017E-2</v>
      </c>
      <c r="AD1241">
        <v>3.4999999999999976E-2</v>
      </c>
      <c r="AE1241">
        <v>4.9999999999999989E-2</v>
      </c>
      <c r="AF1241">
        <v>5.1999999999999998E-2</v>
      </c>
      <c r="AG1241">
        <v>5.1999999999999998E-2</v>
      </c>
      <c r="AH1241">
        <v>7.6999999999999999E-2</v>
      </c>
      <c r="AI1241">
        <v>6.8000000000000005E-2</v>
      </c>
      <c r="AJ1241">
        <v>2.1999999999999999E-2</v>
      </c>
      <c r="AK1241">
        <v>1.0999999999999999E-2</v>
      </c>
      <c r="AL1241">
        <v>1.4999999999999999E-2</v>
      </c>
      <c r="AM1241">
        <v>7.0000000000000001E-3</v>
      </c>
      <c r="AN1241">
        <v>1.2999999999999999E-2</v>
      </c>
      <c r="AO1241">
        <v>4.2999999999999997E-2</v>
      </c>
      <c r="AP1241">
        <v>5.0999999999999997E-2</v>
      </c>
      <c r="AQ1241">
        <v>4.3999999999999997E-2</v>
      </c>
      <c r="AR1241">
        <v>4.2000000000000003E-2</v>
      </c>
      <c r="AS1241">
        <v>6.9000000000000006E-2</v>
      </c>
      <c r="AT1241">
        <v>0.03</v>
      </c>
      <c r="AU1241">
        <v>3.5999999999999997E-2</v>
      </c>
      <c r="AV1241">
        <v>0</v>
      </c>
      <c r="AW1241">
        <v>0</v>
      </c>
      <c r="AX1241">
        <v>1E-3</v>
      </c>
      <c r="AY1241">
        <v>8.9999999999999993E-3</v>
      </c>
      <c r="BD12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32.408639999999998</v>
      </c>
      <c r="BE12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29.272320000000001</v>
      </c>
      <c r="BF12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32.408639999999998</v>
      </c>
      <c r="BG12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31.363199999999999</v>
      </c>
      <c r="BH12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32.408639999999998</v>
      </c>
      <c r="BI12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31.363199999999999</v>
      </c>
      <c r="BJ12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32.408639999999998</v>
      </c>
      <c r="BK12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32.408639999999998</v>
      </c>
      <c r="BL12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31.363199999999999</v>
      </c>
      <c r="BM12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32.408639999999998</v>
      </c>
      <c r="BN12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31.363199999999999</v>
      </c>
      <c r="BO12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32.408639999999998</v>
      </c>
      <c r="BP1241">
        <f>SUM(Таб[[#This Row],[1]:[12]])</f>
        <v>381.58559999999994</v>
      </c>
    </row>
    <row r="1242" spans="2:68" ht="38.25">
      <c r="B1242" t="s">
        <v>2715</v>
      </c>
      <c r="C1242" t="str">
        <f>IF(Таб[[#This Row],[Потужність, МВт]]&lt;0.2,"Мікро",IF(Таб[[#This Row],[Потужність, МВт]]&lt;1,"Міні","Мала"))</f>
        <v>Міні</v>
      </c>
      <c r="G1242" s="1" t="s">
        <v>2849</v>
      </c>
      <c r="H1242" t="s">
        <v>263</v>
      </c>
      <c r="I1242" t="s">
        <v>268</v>
      </c>
      <c r="J1242" s="22">
        <v>0.2</v>
      </c>
      <c r="K1242" s="12"/>
      <c r="L1242" s="12">
        <v>43410</v>
      </c>
      <c r="M1242">
        <v>11</v>
      </c>
      <c r="N1242" s="49" t="s">
        <v>71</v>
      </c>
      <c r="O1242">
        <v>2018</v>
      </c>
      <c r="P1242">
        <v>0.17449999999999999</v>
      </c>
      <c r="Q1242" s="10">
        <v>0.1</v>
      </c>
      <c r="R1242" s="11">
        <f>ROUND(Таб[[#This Row],[Зелений Тариф ЕЦ]]+Таб[[#This Row],[Зелений Тариф ЕЦ]]*Таб[[#This Row],[% надбавки]],4)</f>
        <v>0.192</v>
      </c>
      <c r="S1242" s="12">
        <v>43410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7.4999999999999997E-2</v>
      </c>
      <c r="AR1242">
        <v>0.10199999999999999</v>
      </c>
      <c r="AS1242">
        <v>9.6000000000000002E-2</v>
      </c>
      <c r="AT1242">
        <v>1.9E-2</v>
      </c>
      <c r="AU1242">
        <v>7.9000000000000001E-2</v>
      </c>
      <c r="AV1242">
        <v>5.6000000000000001E-2</v>
      </c>
      <c r="AW1242">
        <v>3.9E-2</v>
      </c>
      <c r="AX1242">
        <v>2.7E-2</v>
      </c>
      <c r="AY1242">
        <v>0.02</v>
      </c>
      <c r="BD12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49.104000000000006</v>
      </c>
      <c r="BE12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44.352000000000004</v>
      </c>
      <c r="BF12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49.104000000000006</v>
      </c>
      <c r="BG12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47.519999999999996</v>
      </c>
      <c r="BH12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49.104000000000006</v>
      </c>
      <c r="BI12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47.519999999999996</v>
      </c>
      <c r="BJ12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49.104000000000006</v>
      </c>
      <c r="BK12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49.104000000000006</v>
      </c>
      <c r="BL12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47.519999999999996</v>
      </c>
      <c r="BM12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49.104000000000006</v>
      </c>
      <c r="BN12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47.519999999999996</v>
      </c>
      <c r="BO12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49.104000000000006</v>
      </c>
      <c r="BP1242">
        <f>SUM(Таб[[#This Row],[1]:[12]])</f>
        <v>578.16000000000008</v>
      </c>
    </row>
    <row r="1243" spans="2:68" ht="38.25">
      <c r="B1243" t="s">
        <v>2715</v>
      </c>
      <c r="C1243" t="str">
        <f>IF(Таб[[#This Row],[Потужність, МВт]]&lt;0.2,"Мікро",IF(Таб[[#This Row],[Потужність, МВт]]&lt;1,"Міні","Мала"))</f>
        <v>Мікро</v>
      </c>
      <c r="G1243" s="1" t="s">
        <v>2853</v>
      </c>
      <c r="H1243" t="s">
        <v>172</v>
      </c>
      <c r="I1243" t="s">
        <v>2855</v>
      </c>
      <c r="J1243" s="22">
        <v>0.185</v>
      </c>
      <c r="K1243" s="12"/>
      <c r="L1243" s="12">
        <v>42292</v>
      </c>
      <c r="M1243">
        <v>10</v>
      </c>
      <c r="N1243" s="49" t="s">
        <v>71</v>
      </c>
      <c r="O1243">
        <v>2015</v>
      </c>
      <c r="P1243">
        <v>0.19389999999999999</v>
      </c>
      <c r="Q1243" s="10"/>
      <c r="R1243" s="11">
        <f>ROUND(Таб[[#This Row],[Зелений Тариф ЕЦ]]+Таб[[#This Row],[Зелений Тариф ЕЦ]]*Таб[[#This Row],[% надбавки]],4)</f>
        <v>0.19389999999999999</v>
      </c>
      <c r="S1243" s="12"/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3.0000000000000001E-3</v>
      </c>
      <c r="AT1243">
        <v>1E-3</v>
      </c>
      <c r="AU1243">
        <v>0</v>
      </c>
      <c r="AV1243">
        <v>5.0000000000000001E-3</v>
      </c>
      <c r="AW1243">
        <v>2E-3</v>
      </c>
      <c r="AX1243">
        <v>1E-3</v>
      </c>
      <c r="AY1243">
        <v>0</v>
      </c>
      <c r="BD12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45.421199999999999</v>
      </c>
      <c r="BE12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41.025599999999997</v>
      </c>
      <c r="BF12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45.421199999999999</v>
      </c>
      <c r="BG12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43.955999999999996</v>
      </c>
      <c r="BH12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45.421199999999999</v>
      </c>
      <c r="BI12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43.955999999999996</v>
      </c>
      <c r="BJ12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45.421199999999999</v>
      </c>
      <c r="BK12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45.421199999999999</v>
      </c>
      <c r="BL12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43.955999999999996</v>
      </c>
      <c r="BM12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45.421199999999999</v>
      </c>
      <c r="BN12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43.955999999999996</v>
      </c>
      <c r="BO12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45.421199999999999</v>
      </c>
      <c r="BP1243">
        <f>SUM(Таб[[#This Row],[1]:[12]])</f>
        <v>534.798</v>
      </c>
    </row>
    <row r="1244" spans="2:68" ht="25.5">
      <c r="B1244" t="s">
        <v>2715</v>
      </c>
      <c r="C1244" t="str">
        <f>IF(Таб[[#This Row],[Потужність, МВт]]&lt;0.2,"Мікро",IF(Таб[[#This Row],[Потужність, МВт]]&lt;1,"Міні","Мала"))</f>
        <v>Мікро</v>
      </c>
      <c r="G1244" s="1" t="s">
        <v>2858</v>
      </c>
      <c r="H1244" t="s">
        <v>172</v>
      </c>
      <c r="I1244" t="s">
        <v>812</v>
      </c>
      <c r="J1244" s="22">
        <v>0.13</v>
      </c>
      <c r="K1244" s="12"/>
      <c r="L1244" s="12">
        <v>43312</v>
      </c>
      <c r="M1244">
        <v>7</v>
      </c>
      <c r="N1244" s="49" t="s">
        <v>60</v>
      </c>
      <c r="O1244">
        <v>2018</v>
      </c>
      <c r="P1244">
        <v>0.17449999999999999</v>
      </c>
      <c r="Q1244" s="10"/>
      <c r="R1244" s="11">
        <f>ROUND(Таб[[#This Row],[Зелений Тариф ЕЦ]]+Таб[[#This Row],[Зелений Тариф ЕЦ]]*Таб[[#This Row],[% надбавки]],4)</f>
        <v>0.17449999999999999</v>
      </c>
      <c r="S1244" s="12"/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1.6E-2</v>
      </c>
      <c r="AO1244">
        <v>2.9000000000000001E-2</v>
      </c>
      <c r="AP1244">
        <v>1.9E-2</v>
      </c>
      <c r="AQ1244">
        <v>2.3E-2</v>
      </c>
      <c r="AR1244">
        <v>1.7999999999999999E-2</v>
      </c>
      <c r="AS1244">
        <v>3.9E-2</v>
      </c>
      <c r="AT1244">
        <v>0.03</v>
      </c>
      <c r="AU1244">
        <v>2.1999999999999999E-2</v>
      </c>
      <c r="AV1244">
        <v>5.8999999999999997E-2</v>
      </c>
      <c r="AW1244">
        <v>5.1999999999999998E-2</v>
      </c>
      <c r="AX1244">
        <v>1.7999999999999999E-2</v>
      </c>
      <c r="AY1244">
        <v>1.2E-2</v>
      </c>
      <c r="BD12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31.9176</v>
      </c>
      <c r="BE12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28.828800000000001</v>
      </c>
      <c r="BF12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31.9176</v>
      </c>
      <c r="BG12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30.887999999999998</v>
      </c>
      <c r="BH12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31.9176</v>
      </c>
      <c r="BI12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30.887999999999998</v>
      </c>
      <c r="BJ12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31.9176</v>
      </c>
      <c r="BK12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31.9176</v>
      </c>
      <c r="BL12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30.887999999999998</v>
      </c>
      <c r="BM12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31.9176</v>
      </c>
      <c r="BN12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30.887999999999998</v>
      </c>
      <c r="BO12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31.9176</v>
      </c>
      <c r="BP1244">
        <f>SUM(Таб[[#This Row],[1]:[12]])</f>
        <v>375.80399999999992</v>
      </c>
    </row>
    <row r="1245" spans="2:68" ht="38.25">
      <c r="B1245" t="s">
        <v>2715</v>
      </c>
      <c r="C1245" t="str">
        <f>IF(Таб[[#This Row],[Потужність, МВт]]&lt;0.2,"Мікро",IF(Таб[[#This Row],[Потужність, МВт]]&lt;1,"Міні","Мала"))</f>
        <v>Міні</v>
      </c>
      <c r="G1245" s="1" t="s">
        <v>2861</v>
      </c>
      <c r="H1245" t="s">
        <v>65</v>
      </c>
      <c r="I1245" t="s">
        <v>2863</v>
      </c>
      <c r="J1245" s="22">
        <v>0.92500000000000004</v>
      </c>
      <c r="K1245" s="12"/>
      <c r="L1245" s="12">
        <v>42787</v>
      </c>
      <c r="M1245">
        <v>2</v>
      </c>
      <c r="N1245" s="49" t="s">
        <v>67</v>
      </c>
      <c r="O1245">
        <v>2017</v>
      </c>
      <c r="P1245">
        <v>0.13950000000000001</v>
      </c>
      <c r="Q1245" s="10"/>
      <c r="R1245" s="11">
        <f>ROUND(Таб[[#This Row],[Зелений Тариф ЕЦ]]+Таб[[#This Row],[Зелений Тариф ЕЦ]]*Таб[[#This Row],[% надбавки]],4)</f>
        <v>0.13950000000000001</v>
      </c>
      <c r="S1245" s="12"/>
      <c r="T1245">
        <v>0</v>
      </c>
      <c r="U1245">
        <v>5.1999999999999998E-2</v>
      </c>
      <c r="V1245">
        <v>0.48900000000000005</v>
      </c>
      <c r="W1245">
        <v>0.31199999999999994</v>
      </c>
      <c r="X1245">
        <v>0.56000000000000005</v>
      </c>
      <c r="Y1245">
        <v>0.25800000000000001</v>
      </c>
      <c r="Z1245">
        <v>0.10799999999999987</v>
      </c>
      <c r="AA1245">
        <v>0.11099999999999999</v>
      </c>
      <c r="AB1245">
        <v>0.29600000000000004</v>
      </c>
      <c r="AC1245">
        <v>0.14599999999999991</v>
      </c>
      <c r="AD1245">
        <v>0.22100000000000009</v>
      </c>
      <c r="AE1245">
        <v>0.54200000000000026</v>
      </c>
      <c r="AF1245">
        <v>0.30499999999999999</v>
      </c>
      <c r="AG1245">
        <v>0.217</v>
      </c>
      <c r="AH1245">
        <v>0.39800000000000002</v>
      </c>
      <c r="AI1245">
        <v>0.36599999999999999</v>
      </c>
      <c r="AJ1245">
        <v>4.2000000000000003E-2</v>
      </c>
      <c r="AK1245">
        <v>0.314</v>
      </c>
      <c r="AL1245">
        <v>0.51200000000000001</v>
      </c>
      <c r="AM1245">
        <v>0.252</v>
      </c>
      <c r="AN1245">
        <v>0.107</v>
      </c>
      <c r="AO1245">
        <v>5.8999999999999997E-2</v>
      </c>
      <c r="AP1245">
        <v>0.05</v>
      </c>
      <c r="AQ1245">
        <v>0.246</v>
      </c>
      <c r="AR1245">
        <v>2.1999999999999999E-2</v>
      </c>
      <c r="AS1245">
        <v>0.28399999999999997</v>
      </c>
      <c r="AT1245">
        <v>0.29599999999999999</v>
      </c>
      <c r="AU1245">
        <v>0.23699999999999999</v>
      </c>
      <c r="AV1245">
        <v>0.68400000000000005</v>
      </c>
      <c r="AW1245">
        <v>0.40400000000000003</v>
      </c>
      <c r="AX1245">
        <v>7.1999999999999995E-2</v>
      </c>
      <c r="AY1245">
        <v>5.0999999999999997E-2</v>
      </c>
      <c r="BD12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227.10599999999999</v>
      </c>
      <c r="BE12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205.12800000000001</v>
      </c>
      <c r="BF12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227.10599999999999</v>
      </c>
      <c r="BG12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219.78000000000003</v>
      </c>
      <c r="BH12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227.10599999999999</v>
      </c>
      <c r="BI12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219.78000000000003</v>
      </c>
      <c r="BJ12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227.10599999999999</v>
      </c>
      <c r="BK12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227.10599999999999</v>
      </c>
      <c r="BL12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219.78000000000003</v>
      </c>
      <c r="BM12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227.10599999999999</v>
      </c>
      <c r="BN12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219.78000000000003</v>
      </c>
      <c r="BO12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227.10599999999999</v>
      </c>
      <c r="BP1245">
        <f>SUM(Таб[[#This Row],[1]:[12]])</f>
        <v>2673.9900000000007</v>
      </c>
    </row>
    <row r="1246" spans="2:68" ht="38.25">
      <c r="B1246" t="s">
        <v>2715</v>
      </c>
      <c r="C1246" t="str">
        <f>IF(Таб[[#This Row],[Потужність, МВт]]&lt;0.2,"Мікро",IF(Таб[[#This Row],[Потужність, МВт]]&lt;1,"Міні","Мала"))</f>
        <v>Міні</v>
      </c>
      <c r="G1246" s="1" t="s">
        <v>2865</v>
      </c>
      <c r="H1246" t="s">
        <v>69</v>
      </c>
      <c r="J1246" s="22">
        <v>0.48399999999999999</v>
      </c>
      <c r="K1246" s="12"/>
      <c r="L1246" s="12">
        <v>43431</v>
      </c>
      <c r="M1246">
        <v>11</v>
      </c>
      <c r="N1246" s="49" t="s">
        <v>71</v>
      </c>
      <c r="O1246">
        <v>2018</v>
      </c>
      <c r="P1246">
        <v>0.13950000000000001</v>
      </c>
      <c r="Q1246" s="10"/>
      <c r="R1246" s="11">
        <f>ROUND(Таб[[#This Row],[Зелений Тариф ЕЦ]]+Таб[[#This Row],[Зелений Тариф ЕЦ]]*Таб[[#This Row],[% надбавки]],4)</f>
        <v>0.13950000000000001</v>
      </c>
      <c r="S1246" s="12"/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1E-3</v>
      </c>
      <c r="AT1246">
        <v>0.24299999999999999</v>
      </c>
      <c r="AU1246">
        <v>0.24199999999999999</v>
      </c>
      <c r="AV1246">
        <v>0.27700000000000002</v>
      </c>
      <c r="AW1246">
        <v>0.22800000000000001</v>
      </c>
      <c r="AX1246">
        <v>0.255</v>
      </c>
      <c r="AY1246">
        <v>0.27500000000000002</v>
      </c>
      <c r="BD12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118.83168000000001</v>
      </c>
      <c r="BE12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107.33184</v>
      </c>
      <c r="BF12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118.83168000000001</v>
      </c>
      <c r="BG12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114.9984</v>
      </c>
      <c r="BH12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118.83168000000001</v>
      </c>
      <c r="BI12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114.9984</v>
      </c>
      <c r="BJ12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118.83168000000001</v>
      </c>
      <c r="BK12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118.83168000000001</v>
      </c>
      <c r="BL12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114.9984</v>
      </c>
      <c r="BM12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118.83168000000001</v>
      </c>
      <c r="BN12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114.9984</v>
      </c>
      <c r="BO12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118.83168000000001</v>
      </c>
      <c r="BP1246">
        <f>SUM(Таб[[#This Row],[1]:[12]])</f>
        <v>1399.1471999999999</v>
      </c>
    </row>
    <row r="1247" spans="2:68" ht="25.5">
      <c r="B1247" t="s">
        <v>2715</v>
      </c>
      <c r="C1247" t="str">
        <f>IF(Таб[[#This Row],[Потужність, МВт]]&lt;0.2,"Мікро",IF(Таб[[#This Row],[Потужність, МВт]]&lt;1,"Міні","Мала"))</f>
        <v>Мікро</v>
      </c>
      <c r="G1247" s="1" t="s">
        <v>2868</v>
      </c>
      <c r="H1247" t="s">
        <v>233</v>
      </c>
      <c r="I1247" t="s">
        <v>2771</v>
      </c>
      <c r="J1247" s="22">
        <v>0.1</v>
      </c>
      <c r="K1247" s="12"/>
      <c r="L1247" s="12">
        <v>43476</v>
      </c>
      <c r="M1247">
        <v>1</v>
      </c>
      <c r="N1247" s="49" t="s">
        <v>67</v>
      </c>
      <c r="O1247">
        <v>2019</v>
      </c>
      <c r="P1247">
        <v>0.17449999999999999</v>
      </c>
      <c r="Q1247" s="10"/>
      <c r="R1247" s="11">
        <f>ROUND(Таб[[#This Row],[Зелений Тариф ЕЦ]]+Таб[[#This Row],[Зелений Тариф ЕЦ]]*Таб[[#This Row],[% надбавки]],4)</f>
        <v>0.17449999999999999</v>
      </c>
      <c r="S1247" s="12"/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R1247">
        <v>0</v>
      </c>
      <c r="AS1247">
        <v>1.2999999999999999E-2</v>
      </c>
      <c r="AT1247">
        <v>3.1E-2</v>
      </c>
      <c r="AU1247">
        <v>2.5999999999999999E-2</v>
      </c>
      <c r="AV1247">
        <v>5.7000000000000002E-2</v>
      </c>
      <c r="AW1247">
        <v>0.02</v>
      </c>
      <c r="AX1247">
        <v>1.7999999999999999E-2</v>
      </c>
      <c r="AY1247">
        <v>1.7999999999999999E-2</v>
      </c>
      <c r="BD12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24.552000000000003</v>
      </c>
      <c r="BE12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22.176000000000002</v>
      </c>
      <c r="BF12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24.552000000000003</v>
      </c>
      <c r="BG12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23.759999999999998</v>
      </c>
      <c r="BH12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24.552000000000003</v>
      </c>
      <c r="BI12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23.759999999999998</v>
      </c>
      <c r="BJ12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24.552000000000003</v>
      </c>
      <c r="BK12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24.552000000000003</v>
      </c>
      <c r="BL12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23.759999999999998</v>
      </c>
      <c r="BM12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24.552000000000003</v>
      </c>
      <c r="BN12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23.759999999999998</v>
      </c>
      <c r="BO12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24.552000000000003</v>
      </c>
      <c r="BP1247">
        <f>SUM(Таб[[#This Row],[1]:[12]])</f>
        <v>289.08000000000004</v>
      </c>
    </row>
    <row r="1248" spans="2:68" ht="38.25">
      <c r="B1248" t="s">
        <v>2715</v>
      </c>
      <c r="C1248" t="str">
        <f>IF(Таб[[#This Row],[Потужність, МВт]]&lt;0.2,"Мікро",IF(Таб[[#This Row],[Потужність, МВт]]&lt;1,"Міні","Мала"))</f>
        <v>Міні</v>
      </c>
      <c r="G1248" s="1" t="s">
        <v>2870</v>
      </c>
      <c r="H1248" t="s">
        <v>163</v>
      </c>
      <c r="I1248" t="s">
        <v>2872</v>
      </c>
      <c r="J1248" s="22">
        <v>0.2</v>
      </c>
      <c r="K1248" s="12"/>
      <c r="L1248" s="12">
        <v>40483</v>
      </c>
      <c r="M1248">
        <v>11</v>
      </c>
      <c r="N1248" s="49" t="s">
        <v>71</v>
      </c>
      <c r="O1248">
        <v>2010</v>
      </c>
      <c r="P1248">
        <v>0.1163</v>
      </c>
      <c r="Q1248" s="10"/>
      <c r="R1248" s="11">
        <f>ROUND(Таб[[#This Row],[Зелений Тариф ЕЦ]]+Таб[[#This Row],[Зелений Тариф ЕЦ]]*Таб[[#This Row],[% надбавки]],4)</f>
        <v>0.1163</v>
      </c>
      <c r="S1248" s="12"/>
      <c r="T1248">
        <v>2.4E-2</v>
      </c>
      <c r="U1248">
        <v>5.7000000000000002E-2</v>
      </c>
      <c r="V1248">
        <v>0.13900000000000001</v>
      </c>
      <c r="W1248">
        <v>3.8000000000000006E-2</v>
      </c>
      <c r="X1248">
        <v>1.9000000000000017E-2</v>
      </c>
      <c r="Y1248">
        <v>3.0000000000000027E-3</v>
      </c>
      <c r="Z1248">
        <v>7.9999999999999516E-3</v>
      </c>
      <c r="AA1248">
        <v>1.0000000000000009E-3</v>
      </c>
      <c r="AB1248">
        <v>1.6000000000000014E-2</v>
      </c>
      <c r="AC1248">
        <v>7.0000000000000007E-2</v>
      </c>
      <c r="AD1248">
        <v>9.0000000000000024E-2</v>
      </c>
      <c r="AE1248">
        <v>6.9000000000000006E-2</v>
      </c>
      <c r="AF1248">
        <v>6.5000000000000002E-2</v>
      </c>
      <c r="AG1248">
        <v>5.2999999999999999E-2</v>
      </c>
      <c r="AH1248">
        <v>0.13500000000000001</v>
      </c>
      <c r="AI1248">
        <v>0.13500000000000001</v>
      </c>
      <c r="AJ1248">
        <v>1.7999999999999999E-2</v>
      </c>
      <c r="AK1248">
        <v>5.0000000000000001E-3</v>
      </c>
      <c r="AL1248">
        <v>1.2E-2</v>
      </c>
      <c r="AM1248">
        <v>8.0000000000000002E-3</v>
      </c>
      <c r="AN1248">
        <v>3.3000000000000002E-2</v>
      </c>
      <c r="AO1248">
        <v>0.106</v>
      </c>
      <c r="AP1248">
        <v>0.106</v>
      </c>
      <c r="AQ1248">
        <v>4.7E-2</v>
      </c>
      <c r="AR1248">
        <v>4.2999999999999997E-2</v>
      </c>
      <c r="AS1248">
        <v>7.9000000000000001E-2</v>
      </c>
      <c r="AT1248">
        <v>5.5E-2</v>
      </c>
      <c r="AU1248">
        <v>1.4E-2</v>
      </c>
      <c r="AV1248">
        <v>0.03</v>
      </c>
      <c r="AW1248">
        <v>7.9000000000000001E-2</v>
      </c>
      <c r="AX1248">
        <v>2.4E-2</v>
      </c>
      <c r="AY1248">
        <v>6.0000000000000001E-3</v>
      </c>
      <c r="BD12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49.104000000000006</v>
      </c>
      <c r="BE12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44.352000000000004</v>
      </c>
      <c r="BF12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49.104000000000006</v>
      </c>
      <c r="BG12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47.519999999999996</v>
      </c>
      <c r="BH12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49.104000000000006</v>
      </c>
      <c r="BI12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47.519999999999996</v>
      </c>
      <c r="BJ12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49.104000000000006</v>
      </c>
      <c r="BK12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49.104000000000006</v>
      </c>
      <c r="BL12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47.519999999999996</v>
      </c>
      <c r="BM12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49.104000000000006</v>
      </c>
      <c r="BN12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47.519999999999996</v>
      </c>
      <c r="BO12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49.104000000000006</v>
      </c>
      <c r="BP1248">
        <f>SUM(Таб[[#This Row],[1]:[12]])</f>
        <v>578.16000000000008</v>
      </c>
    </row>
    <row r="1249" spans="2:68" ht="38.25">
      <c r="B1249" t="s">
        <v>2715</v>
      </c>
      <c r="C1249" t="str">
        <f>IF(Таб[[#This Row],[Потужність, МВт]]&lt;0.2,"Мікро",IF(Таб[[#This Row],[Потужність, МВт]]&lt;1,"Міні","Мала"))</f>
        <v>Міні</v>
      </c>
      <c r="G1249" s="1" t="s">
        <v>2870</v>
      </c>
      <c r="H1249" t="s">
        <v>163</v>
      </c>
      <c r="I1249" t="s">
        <v>964</v>
      </c>
      <c r="J1249" s="22">
        <v>0.6</v>
      </c>
      <c r="K1249" s="12"/>
      <c r="L1249" s="12">
        <v>40817</v>
      </c>
      <c r="M1249">
        <v>10</v>
      </c>
      <c r="N1249" s="49" t="s">
        <v>71</v>
      </c>
      <c r="O1249">
        <v>2011</v>
      </c>
      <c r="P1249">
        <v>0.1163</v>
      </c>
      <c r="Q1249" s="10"/>
      <c r="R1249" s="11">
        <f>ROUND(Таб[[#This Row],[Зелений Тариф ЕЦ]]+Таб[[#This Row],[Зелений Тариф ЕЦ]]*Таб[[#This Row],[% надбавки]],4)</f>
        <v>0.1163</v>
      </c>
      <c r="S1249" s="12"/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BD12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147.31200000000001</v>
      </c>
      <c r="BE12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133.05600000000001</v>
      </c>
      <c r="BF12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147.31200000000001</v>
      </c>
      <c r="BG12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142.56</v>
      </c>
      <c r="BH12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147.31200000000001</v>
      </c>
      <c r="BI12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142.56</v>
      </c>
      <c r="BJ12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147.31200000000001</v>
      </c>
      <c r="BK12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147.31200000000001</v>
      </c>
      <c r="BL12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142.56</v>
      </c>
      <c r="BM12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147.31200000000001</v>
      </c>
      <c r="BN12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142.56</v>
      </c>
      <c r="BO12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147.31200000000001</v>
      </c>
      <c r="BP1249">
        <f>SUM(Таб[[#This Row],[1]:[12]])</f>
        <v>1734.48</v>
      </c>
    </row>
    <row r="1250" spans="2:68" ht="38.25">
      <c r="B1250" t="s">
        <v>2715</v>
      </c>
      <c r="C1250" t="str">
        <f>IF(Таб[[#This Row],[Потужність, МВт]]&lt;0.2,"Мікро",IF(Таб[[#This Row],[Потужність, МВт]]&lt;1,"Міні","Мала"))</f>
        <v>Міні</v>
      </c>
      <c r="G1250" s="1" t="s">
        <v>2870</v>
      </c>
      <c r="H1250" t="s">
        <v>163</v>
      </c>
      <c r="I1250" t="s">
        <v>2878</v>
      </c>
      <c r="J1250" s="22">
        <v>0.52800000000000002</v>
      </c>
      <c r="K1250" s="12"/>
      <c r="L1250" s="12">
        <v>41998</v>
      </c>
      <c r="M1250">
        <v>12</v>
      </c>
      <c r="N1250" s="49" t="s">
        <v>71</v>
      </c>
      <c r="O1250">
        <v>2014</v>
      </c>
      <c r="P1250">
        <v>0.15509999999999999</v>
      </c>
      <c r="Q1250" s="10"/>
      <c r="R1250" s="11">
        <f>ROUND(Таб[[#This Row],[Зелений Тариф ЕЦ]]+Таб[[#This Row],[Зелений Тариф ЕЦ]]*Таб[[#This Row],[% надбавки]],4)</f>
        <v>0.15509999999999999</v>
      </c>
      <c r="S1250" s="12"/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2.7E-2</v>
      </c>
      <c r="AG1250">
        <v>2.3E-2</v>
      </c>
      <c r="AH1250">
        <v>5.8999999999999997E-2</v>
      </c>
      <c r="AI1250">
        <v>9.8000000000000004E-2</v>
      </c>
      <c r="AJ1250">
        <v>1.9E-2</v>
      </c>
      <c r="AK1250">
        <v>8.0000000000000002E-3</v>
      </c>
      <c r="AL1250">
        <v>1.6E-2</v>
      </c>
      <c r="AM1250">
        <v>1.0999999999999999E-2</v>
      </c>
      <c r="AN1250">
        <v>2.9000000000000001E-2</v>
      </c>
      <c r="AO1250">
        <v>7.1999999999999995E-2</v>
      </c>
      <c r="AP1250">
        <v>9.2999999999999999E-2</v>
      </c>
      <c r="AQ1250">
        <v>3.2000000000000001E-2</v>
      </c>
      <c r="AR1250">
        <v>0.02</v>
      </c>
      <c r="AS1250">
        <v>3.5999999999999997E-2</v>
      </c>
      <c r="AT1250">
        <v>2.5999999999999999E-2</v>
      </c>
      <c r="AU1250">
        <v>1.7000000000000001E-2</v>
      </c>
      <c r="AV1250">
        <v>2.1000000000000001E-2</v>
      </c>
      <c r="AW1250">
        <v>8.2000000000000003E-2</v>
      </c>
      <c r="AX1250">
        <v>2.3E-2</v>
      </c>
      <c r="AY1250">
        <v>8.9999999999999993E-3</v>
      </c>
      <c r="BD12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129.63455999999999</v>
      </c>
      <c r="BE12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117.08928</v>
      </c>
      <c r="BF12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129.63455999999999</v>
      </c>
      <c r="BG12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125.4528</v>
      </c>
      <c r="BH12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129.63455999999999</v>
      </c>
      <c r="BI12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125.4528</v>
      </c>
      <c r="BJ12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129.63455999999999</v>
      </c>
      <c r="BK12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129.63455999999999</v>
      </c>
      <c r="BL12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125.4528</v>
      </c>
      <c r="BM12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129.63455999999999</v>
      </c>
      <c r="BN12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125.4528</v>
      </c>
      <c r="BO12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129.63455999999999</v>
      </c>
      <c r="BP1250">
        <f>SUM(Таб[[#This Row],[1]:[12]])</f>
        <v>1526.3423999999998</v>
      </c>
    </row>
    <row r="1251" spans="2:68" ht="25.5">
      <c r="B1251" t="s">
        <v>2715</v>
      </c>
      <c r="C1251" t="str">
        <f>IF(Таб[[#This Row],[Потужність, МВт]]&lt;0.2,"Мікро",IF(Таб[[#This Row],[Потужність, МВт]]&lt;1,"Міні","Мала"))</f>
        <v>Мікро</v>
      </c>
      <c r="G1251" s="1" t="s">
        <v>2880</v>
      </c>
      <c r="H1251" t="s">
        <v>172</v>
      </c>
      <c r="I1251" t="s">
        <v>1935</v>
      </c>
      <c r="J1251" s="22">
        <v>0.185</v>
      </c>
      <c r="K1251" s="12"/>
      <c r="L1251" s="12">
        <v>42180</v>
      </c>
      <c r="M1251">
        <v>6</v>
      </c>
      <c r="N1251" s="49" t="s">
        <v>57</v>
      </c>
      <c r="O1251">
        <v>2015</v>
      </c>
      <c r="P1251">
        <v>0.19389999999999999</v>
      </c>
      <c r="Q1251" s="10"/>
      <c r="R1251" s="11">
        <f>ROUND(Таб[[#This Row],[Зелений Тариф ЕЦ]]+Таб[[#This Row],[Зелений Тариф ЕЦ]]*Таб[[#This Row],[% надбавки]],4)</f>
        <v>0.19389999999999999</v>
      </c>
      <c r="S1251" s="12"/>
      <c r="T1251">
        <v>3.5999999999999997E-2</v>
      </c>
      <c r="U1251">
        <v>5.1999999999999998E-2</v>
      </c>
      <c r="V1251">
        <v>9.0999999999999998E-2</v>
      </c>
      <c r="W1251">
        <v>0.03</v>
      </c>
      <c r="X1251">
        <v>2.7999999999999997E-2</v>
      </c>
      <c r="Y1251">
        <v>2.300000000000002E-2</v>
      </c>
      <c r="Z1251">
        <v>2.0000000000000018E-2</v>
      </c>
      <c r="AA1251">
        <v>1.699999999999996E-2</v>
      </c>
      <c r="AB1251">
        <v>3.1000000000000028E-2</v>
      </c>
      <c r="AC1251">
        <v>4.3999999999999984E-2</v>
      </c>
      <c r="AD1251">
        <v>4.1999999999999982E-2</v>
      </c>
      <c r="AE1251">
        <v>4.0000000000000036E-2</v>
      </c>
      <c r="AF1251">
        <v>3.5000000000000003E-2</v>
      </c>
      <c r="AG1251">
        <v>3.1E-2</v>
      </c>
      <c r="AH1251">
        <v>6.4000000000000001E-2</v>
      </c>
      <c r="AI1251">
        <v>4.4999999999999998E-2</v>
      </c>
      <c r="AJ1251">
        <v>2.8000000000000001E-2</v>
      </c>
      <c r="AK1251">
        <v>0.03</v>
      </c>
      <c r="AL1251">
        <v>3.5999999999999997E-2</v>
      </c>
      <c r="AM1251">
        <v>2.5999999999999999E-2</v>
      </c>
      <c r="AN1251">
        <v>0.02</v>
      </c>
      <c r="AO1251">
        <v>3.9E-2</v>
      </c>
      <c r="AP1251">
        <v>3.2000000000000001E-2</v>
      </c>
      <c r="AQ1251">
        <v>3.9E-2</v>
      </c>
      <c r="AR1251">
        <v>4.2000000000000003E-2</v>
      </c>
      <c r="AS1251">
        <v>4.9000000000000002E-2</v>
      </c>
      <c r="AT1251">
        <v>4.9000000000000002E-2</v>
      </c>
      <c r="AU1251">
        <v>3.6999999999999998E-2</v>
      </c>
      <c r="AV1251">
        <v>9.2999999999999999E-2</v>
      </c>
      <c r="AW1251">
        <v>7.6999999999999999E-2</v>
      </c>
      <c r="AX1251">
        <v>3.5000000000000003E-2</v>
      </c>
      <c r="AY1251">
        <v>3.5999999999999997E-2</v>
      </c>
      <c r="BD12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45.421199999999999</v>
      </c>
      <c r="BE12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41.025599999999997</v>
      </c>
      <c r="BF12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45.421199999999999</v>
      </c>
      <c r="BG12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43.955999999999996</v>
      </c>
      <c r="BH12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45.421199999999999</v>
      </c>
      <c r="BI12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43.955999999999996</v>
      </c>
      <c r="BJ12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45.421199999999999</v>
      </c>
      <c r="BK12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45.421199999999999</v>
      </c>
      <c r="BL12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43.955999999999996</v>
      </c>
      <c r="BM12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45.421199999999999</v>
      </c>
      <c r="BN12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43.955999999999996</v>
      </c>
      <c r="BO12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45.421199999999999</v>
      </c>
      <c r="BP1251">
        <f>SUM(Таб[[#This Row],[1]:[12]])</f>
        <v>534.798</v>
      </c>
    </row>
    <row r="1252" spans="2:68" ht="25.5">
      <c r="B1252" t="s">
        <v>2715</v>
      </c>
      <c r="C1252" t="str">
        <f>IF(Таб[[#This Row],[Потужність, МВт]]&lt;0.2,"Мікро",IF(Таб[[#This Row],[Потужність, МВт]]&lt;1,"Міні","Мала"))</f>
        <v>Мікро</v>
      </c>
      <c r="G1252" s="1" t="s">
        <v>2880</v>
      </c>
      <c r="H1252" t="s">
        <v>198</v>
      </c>
      <c r="I1252" t="s">
        <v>571</v>
      </c>
      <c r="J1252" s="22">
        <v>8.8999999999999996E-2</v>
      </c>
      <c r="K1252" s="12"/>
      <c r="L1252" s="12">
        <v>43096</v>
      </c>
      <c r="M1252">
        <v>12</v>
      </c>
      <c r="N1252" s="49" t="s">
        <v>71</v>
      </c>
      <c r="O1252">
        <v>2017</v>
      </c>
      <c r="P1252">
        <v>0.1163</v>
      </c>
      <c r="Q1252" s="10"/>
      <c r="R1252" s="11">
        <f>ROUND(Таб[[#This Row],[Зелений Тариф ЕЦ]]+Таб[[#This Row],[Зелений Тариф ЕЦ]]*Таб[[#This Row],[% надбавки]],4)</f>
        <v>0.1163</v>
      </c>
      <c r="S1252" s="12"/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1.0999999999999999E-2</v>
      </c>
      <c r="AG1252">
        <v>1.2E-2</v>
      </c>
      <c r="AH1252">
        <v>1.0999999999999999E-2</v>
      </c>
      <c r="AI1252">
        <v>1.2999999999999999E-2</v>
      </c>
      <c r="AJ1252">
        <v>0.01</v>
      </c>
      <c r="AK1252">
        <v>0.01</v>
      </c>
      <c r="AL1252">
        <v>0.01</v>
      </c>
      <c r="AM1252">
        <v>7.0000000000000001E-3</v>
      </c>
      <c r="AN1252">
        <v>8.9999999999999993E-3</v>
      </c>
      <c r="AO1252">
        <v>0.01</v>
      </c>
      <c r="AP1252">
        <v>0.01</v>
      </c>
      <c r="AQ1252">
        <v>0.01</v>
      </c>
      <c r="AR1252">
        <v>1.2999999999999999E-2</v>
      </c>
      <c r="AS1252">
        <v>1.6E-2</v>
      </c>
      <c r="AT1252">
        <v>1.6E-2</v>
      </c>
      <c r="AU1252">
        <v>1.4E-2</v>
      </c>
      <c r="AV1252">
        <v>1.4E-2</v>
      </c>
      <c r="AW1252">
        <v>1.0999999999999999E-2</v>
      </c>
      <c r="AX1252">
        <v>8.0000000000000002E-3</v>
      </c>
      <c r="AY1252">
        <v>0.01</v>
      </c>
      <c r="BD12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21.851279999999999</v>
      </c>
      <c r="BE12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19.736640000000001</v>
      </c>
      <c r="BF12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21.851279999999999</v>
      </c>
      <c r="BG12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21.1464</v>
      </c>
      <c r="BH12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21.851279999999999</v>
      </c>
      <c r="BI12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21.1464</v>
      </c>
      <c r="BJ12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21.851279999999999</v>
      </c>
      <c r="BK12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21.851279999999999</v>
      </c>
      <c r="BL12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21.1464</v>
      </c>
      <c r="BM12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21.851279999999999</v>
      </c>
      <c r="BN12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21.1464</v>
      </c>
      <c r="BO12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21.851279999999999</v>
      </c>
      <c r="BP1252">
        <f>SUM(Таб[[#This Row],[1]:[12]])</f>
        <v>257.28120000000001</v>
      </c>
    </row>
    <row r="1253" spans="2:68" ht="38.25">
      <c r="B1253" t="s">
        <v>2715</v>
      </c>
      <c r="C1253" t="str">
        <f>IF(Таб[[#This Row],[Потужність, МВт]]&lt;0.2,"Мікро",IF(Таб[[#This Row],[Потужність, МВт]]&lt;1,"Міні","Мала"))</f>
        <v>Мікро</v>
      </c>
      <c r="G1253" s="1" t="s">
        <v>2887</v>
      </c>
      <c r="H1253" t="s">
        <v>172</v>
      </c>
      <c r="I1253" t="s">
        <v>2763</v>
      </c>
      <c r="J1253" s="22">
        <v>8.4000000000000005E-2</v>
      </c>
      <c r="K1253" s="12"/>
      <c r="L1253" s="12">
        <v>41417</v>
      </c>
      <c r="M1253">
        <v>5</v>
      </c>
      <c r="N1253" s="49" t="s">
        <v>57</v>
      </c>
      <c r="O1253">
        <v>2013</v>
      </c>
      <c r="P1253">
        <v>0.19389999999999999</v>
      </c>
      <c r="Q1253" s="10"/>
      <c r="R1253" s="11">
        <f>ROUND(Таб[[#This Row],[Зелений Тариф ЕЦ]]+Таб[[#This Row],[Зелений Тариф ЕЦ]]*Таб[[#This Row],[% надбавки]],4)</f>
        <v>0.19389999999999999</v>
      </c>
      <c r="S1253" s="12"/>
      <c r="T1253">
        <v>2.1000000000000001E-2</v>
      </c>
      <c r="U1253">
        <v>1.5999999999999997E-2</v>
      </c>
      <c r="V1253">
        <v>1.6E-2</v>
      </c>
      <c r="W1253">
        <v>2.1999999999999999E-2</v>
      </c>
      <c r="X1253">
        <v>1.8000000000000002E-2</v>
      </c>
      <c r="Y1253">
        <v>9.999999999999995E-3</v>
      </c>
      <c r="Z1253">
        <v>9.000000000000008E-3</v>
      </c>
      <c r="AA1253">
        <v>6.9999999999999923E-3</v>
      </c>
      <c r="AB1253">
        <v>8.0000000000000071E-3</v>
      </c>
      <c r="AC1253">
        <v>1.7999999999999988E-2</v>
      </c>
      <c r="AD1253">
        <v>2.0000000000000018E-2</v>
      </c>
      <c r="AE1253">
        <v>1.6999999999999987E-2</v>
      </c>
      <c r="AF1253">
        <v>0.02</v>
      </c>
      <c r="AG1253">
        <v>1.9E-2</v>
      </c>
      <c r="AH1253">
        <v>1.6E-2</v>
      </c>
      <c r="AI1253">
        <v>1.7000000000000001E-2</v>
      </c>
      <c r="AJ1253">
        <v>1.4E-2</v>
      </c>
      <c r="AK1253">
        <v>0.01</v>
      </c>
      <c r="AL1253">
        <v>0.01</v>
      </c>
      <c r="AM1253">
        <v>8.0000000000000002E-3</v>
      </c>
      <c r="AN1253">
        <v>8.0000000000000002E-3</v>
      </c>
      <c r="AO1253">
        <v>1.0999999999999999E-2</v>
      </c>
      <c r="AP1253">
        <v>1.4999999999999999E-2</v>
      </c>
      <c r="AQ1253">
        <v>2.1999999999999999E-2</v>
      </c>
      <c r="AR1253">
        <v>2.4E-2</v>
      </c>
      <c r="AS1253">
        <v>2.4E-2</v>
      </c>
      <c r="AT1253">
        <v>2.5000000000000001E-2</v>
      </c>
      <c r="AU1253">
        <v>1.9E-2</v>
      </c>
      <c r="AV1253">
        <v>1.7000000000000001E-2</v>
      </c>
      <c r="AW1253">
        <v>1.4999999999999999E-2</v>
      </c>
      <c r="AX1253">
        <v>0</v>
      </c>
      <c r="AY1253">
        <v>5.0000000000000001E-3</v>
      </c>
      <c r="BD12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20.62368</v>
      </c>
      <c r="BE12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18.627840000000003</v>
      </c>
      <c r="BF12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20.62368</v>
      </c>
      <c r="BG12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19.958400000000001</v>
      </c>
      <c r="BH12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20.62368</v>
      </c>
      <c r="BI12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19.958400000000001</v>
      </c>
      <c r="BJ12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20.62368</v>
      </c>
      <c r="BK12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20.62368</v>
      </c>
      <c r="BL12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19.958400000000001</v>
      </c>
      <c r="BM12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20.62368</v>
      </c>
      <c r="BN12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19.958400000000001</v>
      </c>
      <c r="BO12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20.62368</v>
      </c>
      <c r="BP1253">
        <f>SUM(Таб[[#This Row],[1]:[12]])</f>
        <v>242.82720000000003</v>
      </c>
    </row>
    <row r="1254" spans="2:68" ht="38.25">
      <c r="B1254" t="s">
        <v>2715</v>
      </c>
      <c r="C1254" t="str">
        <f>IF(Таб[[#This Row],[Потужність, МВт]]&lt;0.2,"Мікро",IF(Таб[[#This Row],[Потужність, МВт]]&lt;1,"Міні","Мала"))</f>
        <v>Мала</v>
      </c>
      <c r="D1254" t="s">
        <v>3372</v>
      </c>
      <c r="F1254" t="s">
        <v>3287</v>
      </c>
      <c r="G1254" s="1" t="s">
        <v>2891</v>
      </c>
      <c r="H1254" t="s">
        <v>263</v>
      </c>
      <c r="I1254" t="s">
        <v>2893</v>
      </c>
      <c r="J1254" s="22">
        <v>1.038</v>
      </c>
      <c r="K1254" s="12"/>
      <c r="L1254" s="12">
        <v>40118</v>
      </c>
      <c r="M1254">
        <v>11</v>
      </c>
      <c r="N1254" s="49" t="s">
        <v>71</v>
      </c>
      <c r="O1254">
        <v>2009</v>
      </c>
      <c r="P1254">
        <v>0.1163</v>
      </c>
      <c r="Q1254" s="10"/>
      <c r="R1254" s="11">
        <f>ROUND(Таб[[#This Row],[Зелений Тариф ЕЦ]]+Таб[[#This Row],[Зелений Тариф ЕЦ]]*Таб[[#This Row],[% надбавки]],4)</f>
        <v>0.1163</v>
      </c>
      <c r="S1254" s="12"/>
      <c r="T1254">
        <v>0.378</v>
      </c>
      <c r="U1254">
        <v>0.33999999999999997</v>
      </c>
      <c r="V1254">
        <v>0.23699999999999999</v>
      </c>
      <c r="W1254">
        <v>0.33599999999999997</v>
      </c>
      <c r="X1254">
        <v>0.32800000000000007</v>
      </c>
      <c r="Y1254">
        <v>0.16599999999999993</v>
      </c>
      <c r="Z1254">
        <v>0.13600000000000012</v>
      </c>
      <c r="AA1254">
        <v>0.12499999999999978</v>
      </c>
      <c r="AB1254">
        <v>0.14100000000000001</v>
      </c>
      <c r="AC1254">
        <v>0.23500000000000032</v>
      </c>
      <c r="AD1254">
        <v>0.35299999999999976</v>
      </c>
      <c r="AE1254">
        <v>0.33700000000000019</v>
      </c>
      <c r="AF1254">
        <v>0.35399999999999998</v>
      </c>
      <c r="AG1254">
        <v>0.35399999999999998</v>
      </c>
      <c r="AH1254">
        <v>0.377</v>
      </c>
      <c r="AI1254">
        <v>1.4E-2</v>
      </c>
      <c r="AJ1254">
        <v>0.22700000000000001</v>
      </c>
      <c r="AK1254">
        <v>0.24299999999999999</v>
      </c>
      <c r="AL1254">
        <v>0.16900000000000001</v>
      </c>
      <c r="AM1254">
        <v>0.19</v>
      </c>
      <c r="AN1254">
        <v>0.151</v>
      </c>
      <c r="AO1254">
        <v>0.26600000000000001</v>
      </c>
      <c r="AP1254">
        <v>0.28299999999999997</v>
      </c>
      <c r="AQ1254">
        <v>0.26700000000000002</v>
      </c>
      <c r="AR1254">
        <v>0.3</v>
      </c>
      <c r="AS1254">
        <v>0.32700000000000001</v>
      </c>
      <c r="AT1254">
        <v>0.307</v>
      </c>
      <c r="AU1254">
        <v>0.34399999999999997</v>
      </c>
      <c r="AV1254">
        <v>0.32</v>
      </c>
      <c r="AW1254">
        <v>0.184</v>
      </c>
      <c r="AX1254">
        <v>0.109</v>
      </c>
      <c r="AY1254">
        <v>7.2999999999999995E-2</v>
      </c>
      <c r="BD12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254.84976</v>
      </c>
      <c r="BE12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230.18688</v>
      </c>
      <c r="BF12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254.84976</v>
      </c>
      <c r="BG12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246.62880000000001</v>
      </c>
      <c r="BH12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254.84976</v>
      </c>
      <c r="BI12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246.62880000000001</v>
      </c>
      <c r="BJ12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254.84976</v>
      </c>
      <c r="BK12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254.84976</v>
      </c>
      <c r="BL12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246.62880000000001</v>
      </c>
      <c r="BM12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254.84976</v>
      </c>
      <c r="BN12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246.62880000000001</v>
      </c>
      <c r="BO12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254.84976</v>
      </c>
      <c r="BP1254">
        <f>SUM(Таб[[#This Row],[1]:[12]])</f>
        <v>3000.6504000000004</v>
      </c>
    </row>
    <row r="1255" spans="2:68" ht="38.25">
      <c r="B1255" t="s">
        <v>2896</v>
      </c>
      <c r="C1255" t="str">
        <f>IF(Таб[[#This Row],[Потужність, МВт]]&lt;0.2,"Мікро",IF(Таб[[#This Row],[Потужність, МВт]]&lt;1,"Міні","Мала"))</f>
        <v>Міні</v>
      </c>
      <c r="G1255" s="1" t="s">
        <v>2897</v>
      </c>
      <c r="H1255" t="s">
        <v>56</v>
      </c>
      <c r="I1255" t="s">
        <v>2898</v>
      </c>
      <c r="J1255" s="22">
        <v>0.94</v>
      </c>
      <c r="K1255" s="12"/>
      <c r="L1255" s="12">
        <v>41317</v>
      </c>
      <c r="M1255">
        <v>2</v>
      </c>
      <c r="N1255" s="49" t="s">
        <v>67</v>
      </c>
      <c r="O1255">
        <v>2013</v>
      </c>
      <c r="P1255">
        <v>0.15509999999999999</v>
      </c>
      <c r="Q1255" s="10"/>
      <c r="R1255" s="11">
        <f>ROUND(Таб[[#This Row],[Зелений Тариф ЕЦ]]+Таб[[#This Row],[Зелений Тариф ЕЦ]]*Таб[[#This Row],[% надбавки]],4)</f>
        <v>0.15509999999999999</v>
      </c>
      <c r="S1255" s="12"/>
      <c r="T1255">
        <v>0.28399999999999997</v>
      </c>
      <c r="U1255">
        <v>0.29699999999999999</v>
      </c>
      <c r="V1255">
        <v>6.700000000000006E-2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BD12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2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2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2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2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2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2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2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2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2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2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2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255">
        <f>SUM(Таб[[#This Row],[1]:[12]])</f>
        <v>0</v>
      </c>
    </row>
    <row r="1256" spans="2:68" ht="25.5">
      <c r="B1256" t="s">
        <v>2715</v>
      </c>
      <c r="C1256" t="str">
        <f>IF(Таб[[#This Row],[Потужність, МВт]]&lt;0.2,"Мікро",IF(Таб[[#This Row],[Потужність, МВт]]&lt;1,"Міні","Мала"))</f>
        <v>Міні</v>
      </c>
      <c r="G1256" s="1" t="s">
        <v>2901</v>
      </c>
      <c r="H1256" t="s">
        <v>82</v>
      </c>
      <c r="I1256" t="s">
        <v>2903</v>
      </c>
      <c r="J1256" s="22">
        <v>0.90400000000000003</v>
      </c>
      <c r="K1256" s="12"/>
      <c r="L1256" s="12">
        <v>43158</v>
      </c>
      <c r="M1256">
        <v>2</v>
      </c>
      <c r="N1256" s="49" t="s">
        <v>67</v>
      </c>
      <c r="O1256">
        <v>2018</v>
      </c>
      <c r="P1256">
        <v>0.1163</v>
      </c>
      <c r="Q1256" s="10"/>
      <c r="R1256" s="11">
        <f>ROUND(Таб[[#This Row],[Зелений Тариф ЕЦ]]+Таб[[#This Row],[Зелений Тариф ЕЦ]]*Таб[[#This Row],[% надбавки]],4)</f>
        <v>0.1163</v>
      </c>
      <c r="S1256" s="12"/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0.128</v>
      </c>
      <c r="AL1256">
        <v>0.17799999999999999</v>
      </c>
      <c r="AM1256">
        <v>0.13200000000000001</v>
      </c>
      <c r="AN1256">
        <v>0.14499999999999999</v>
      </c>
      <c r="AO1256">
        <v>0.28999999999999998</v>
      </c>
      <c r="AP1256">
        <v>0.38400000000000001</v>
      </c>
      <c r="AQ1256">
        <v>0.378</v>
      </c>
      <c r="AR1256">
        <v>0.35799999999999998</v>
      </c>
      <c r="AS1256">
        <v>0.44800000000000001</v>
      </c>
      <c r="AT1256">
        <v>0.51</v>
      </c>
      <c r="AU1256">
        <v>0.375</v>
      </c>
      <c r="AV1256">
        <v>0.316</v>
      </c>
      <c r="AW1256">
        <v>0.42199999999999999</v>
      </c>
      <c r="AX1256">
        <v>0.121</v>
      </c>
      <c r="AY1256">
        <v>9.7000000000000003E-2</v>
      </c>
      <c r="BD12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221.95008000000001</v>
      </c>
      <c r="BE12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200.47104000000002</v>
      </c>
      <c r="BF12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221.95008000000001</v>
      </c>
      <c r="BG12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214.79040000000001</v>
      </c>
      <c r="BH12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221.95008000000001</v>
      </c>
      <c r="BI12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214.79040000000001</v>
      </c>
      <c r="BJ12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221.95008000000001</v>
      </c>
      <c r="BK12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221.95008000000001</v>
      </c>
      <c r="BL12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214.79040000000001</v>
      </c>
      <c r="BM12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221.95008000000001</v>
      </c>
      <c r="BN12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214.79040000000001</v>
      </c>
      <c r="BO12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221.95008000000001</v>
      </c>
      <c r="BP1256">
        <f>SUM(Таб[[#This Row],[1]:[12]])</f>
        <v>2613.2832000000003</v>
      </c>
    </row>
    <row r="1257" spans="2:68" ht="38.25">
      <c r="B1257" t="s">
        <v>2715</v>
      </c>
      <c r="C1257" t="str">
        <f>IF(Таб[[#This Row],[Потужність, МВт]]&lt;0.2,"Мікро",IF(Таб[[#This Row],[Потужність, МВт]]&lt;1,"Міні","Мала"))</f>
        <v>Мікро</v>
      </c>
      <c r="G1257" s="1" t="s">
        <v>2906</v>
      </c>
      <c r="H1257" t="s">
        <v>62</v>
      </c>
      <c r="I1257" t="s">
        <v>2740</v>
      </c>
      <c r="J1257" s="22">
        <v>0.03</v>
      </c>
      <c r="K1257" s="12"/>
      <c r="L1257" s="12">
        <v>42313</v>
      </c>
      <c r="M1257">
        <v>11</v>
      </c>
      <c r="N1257" s="49" t="s">
        <v>71</v>
      </c>
      <c r="O1257">
        <v>2015</v>
      </c>
      <c r="P1257">
        <v>0.17449999999999999</v>
      </c>
      <c r="Q1257" s="10"/>
      <c r="R1257" s="11">
        <f>ROUND(Таб[[#This Row],[Зелений Тариф ЕЦ]]+Таб[[#This Row],[Зелений Тариф ЕЦ]]*Таб[[#This Row],[% надбавки]],4)</f>
        <v>0.17449999999999999</v>
      </c>
      <c r="S1257" s="12"/>
      <c r="T1257">
        <v>0.01</v>
      </c>
      <c r="U1257">
        <v>8.9999999999999993E-3</v>
      </c>
      <c r="V1257">
        <v>8.0000000000000002E-3</v>
      </c>
      <c r="W1257">
        <v>9.9999999999999985E-3</v>
      </c>
      <c r="X1257">
        <v>1.3000000000000005E-2</v>
      </c>
      <c r="Y1257">
        <v>9.999999999999995E-3</v>
      </c>
      <c r="Z1257">
        <v>8.0000000000000071E-3</v>
      </c>
      <c r="AA1257">
        <v>6.9999999999999923E-3</v>
      </c>
      <c r="AB1257">
        <v>1.0999999999999996E-2</v>
      </c>
      <c r="AC1257">
        <v>1.6E-2</v>
      </c>
      <c r="AD1257">
        <v>1.6E-2</v>
      </c>
      <c r="AE1257">
        <v>1.5000000000000013E-2</v>
      </c>
      <c r="AF1257">
        <v>1.6E-2</v>
      </c>
      <c r="AG1257">
        <v>0.01</v>
      </c>
      <c r="AH1257">
        <v>1.6E-2</v>
      </c>
      <c r="AI1257">
        <v>2.1999999999999999E-2</v>
      </c>
      <c r="AJ1257">
        <v>1.7000000000000001E-2</v>
      </c>
      <c r="AK1257">
        <v>1.2999999999999999E-2</v>
      </c>
      <c r="AL1257">
        <v>1.7000000000000001E-2</v>
      </c>
      <c r="AM1257">
        <v>1.2999999999999999E-2</v>
      </c>
      <c r="AN1257">
        <v>1.0999999999999999E-2</v>
      </c>
      <c r="AO1257">
        <v>1.6E-2</v>
      </c>
      <c r="AP1257">
        <v>1.4E-2</v>
      </c>
      <c r="AQ1257">
        <v>1.4E-2</v>
      </c>
      <c r="AR1257">
        <v>1.9E-2</v>
      </c>
      <c r="AS1257">
        <v>1.7999999999999999E-2</v>
      </c>
      <c r="AT1257">
        <v>1.2999999999999999E-2</v>
      </c>
      <c r="AU1257">
        <v>1.4999999999999999E-2</v>
      </c>
      <c r="AV1257">
        <v>0.02</v>
      </c>
      <c r="AW1257">
        <v>1.9E-2</v>
      </c>
      <c r="AX1257">
        <v>0.01</v>
      </c>
      <c r="AY1257">
        <v>1.0999999999999999E-2</v>
      </c>
      <c r="BD12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7.3656000000000006</v>
      </c>
      <c r="BE12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6.6528</v>
      </c>
      <c r="BF12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7.3656000000000006</v>
      </c>
      <c r="BG12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7.128000000000001</v>
      </c>
      <c r="BH12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7.3656000000000006</v>
      </c>
      <c r="BI12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7.128000000000001</v>
      </c>
      <c r="BJ12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7.3656000000000006</v>
      </c>
      <c r="BK12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7.3656000000000006</v>
      </c>
      <c r="BL12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7.128000000000001</v>
      </c>
      <c r="BM12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7.3656000000000006</v>
      </c>
      <c r="BN12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7.128000000000001</v>
      </c>
      <c r="BO12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7.3656000000000006</v>
      </c>
      <c r="BP1257">
        <f>SUM(Таб[[#This Row],[1]:[12]])</f>
        <v>86.724000000000004</v>
      </c>
    </row>
    <row r="1258" spans="2:68" ht="38.25">
      <c r="B1258" t="s">
        <v>2715</v>
      </c>
      <c r="C1258" t="str">
        <f>IF(Таб[[#This Row],[Потужність, МВт]]&lt;0.2,"Мікро",IF(Таб[[#This Row],[Потужність, МВт]]&lt;1,"Міні","Мала"))</f>
        <v>Мікро</v>
      </c>
      <c r="G1258" s="1" t="s">
        <v>2906</v>
      </c>
      <c r="H1258" t="s">
        <v>172</v>
      </c>
      <c r="I1258" t="s">
        <v>1935</v>
      </c>
      <c r="J1258" s="22">
        <v>4.3999999999999997E-2</v>
      </c>
      <c r="K1258" s="12"/>
      <c r="L1258" s="12">
        <v>43613</v>
      </c>
      <c r="M1258">
        <v>5</v>
      </c>
      <c r="N1258" s="49" t="s">
        <v>57</v>
      </c>
      <c r="O1258">
        <v>2019</v>
      </c>
      <c r="P1258">
        <v>0.17449999999999999</v>
      </c>
      <c r="Q1258" s="10"/>
      <c r="R1258" s="11">
        <f>ROUND(Таб[[#This Row],[Зелений Тариф ЕЦ]]+Таб[[#This Row],[Зелений Тариф ЕЦ]]*Таб[[#This Row],[% надбавки]],4)</f>
        <v>0.17449999999999999</v>
      </c>
      <c r="S1258" s="12"/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BD12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10.80288</v>
      </c>
      <c r="BE12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9.757439999999999</v>
      </c>
      <c r="BF12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10.80288</v>
      </c>
      <c r="BG12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10.4544</v>
      </c>
      <c r="BH12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10.80288</v>
      </c>
      <c r="BI12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10.4544</v>
      </c>
      <c r="BJ12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10.80288</v>
      </c>
      <c r="BK12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10.80288</v>
      </c>
      <c r="BL12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10.4544</v>
      </c>
      <c r="BM12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10.80288</v>
      </c>
      <c r="BN12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10.4544</v>
      </c>
      <c r="BO12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10.80288</v>
      </c>
      <c r="BP1258">
        <f>SUM(Таб[[#This Row],[1]:[12]])</f>
        <v>127.19520000000001</v>
      </c>
    </row>
    <row r="1259" spans="2:68" ht="38.25">
      <c r="B1259" t="s">
        <v>2715</v>
      </c>
      <c r="C1259" t="str">
        <f>IF(Таб[[#This Row],[Потужність, МВт]]&lt;0.2,"Мікро",IF(Таб[[#This Row],[Потужність, МВт]]&lt;1,"Міні","Мала"))</f>
        <v>Мала</v>
      </c>
      <c r="D1259" t="s">
        <v>3372</v>
      </c>
      <c r="F1259" t="s">
        <v>3287</v>
      </c>
      <c r="G1259" s="1" t="s">
        <v>2913</v>
      </c>
      <c r="H1259" t="s">
        <v>62</v>
      </c>
      <c r="J1259" s="22">
        <v>9.375</v>
      </c>
      <c r="K1259" s="12"/>
      <c r="L1259" s="12">
        <v>40073</v>
      </c>
      <c r="M1259">
        <v>9</v>
      </c>
      <c r="N1259" s="49" t="s">
        <v>60</v>
      </c>
      <c r="O1259">
        <v>2009</v>
      </c>
      <c r="P1259">
        <v>0.1163</v>
      </c>
      <c r="Q1259" s="10"/>
      <c r="R1259" s="11">
        <f>ROUND(Таб[[#This Row],[Зелений Тариф ЕЦ]]+Таб[[#This Row],[Зелений Тариф ЕЦ]]*Таб[[#This Row],[% надбавки]],4)</f>
        <v>0.1163</v>
      </c>
      <c r="S1259" s="12"/>
      <c r="T1259">
        <v>1.4510000000000001</v>
      </c>
      <c r="U1259">
        <v>1.7479999999999998</v>
      </c>
      <c r="V1259">
        <v>2.6980000000000004</v>
      </c>
      <c r="W1259">
        <v>1.9269999999999996</v>
      </c>
      <c r="X1259">
        <v>1.4800000000000004</v>
      </c>
      <c r="Y1259">
        <v>0.85699999999999932</v>
      </c>
      <c r="Z1259">
        <v>0.63499999999999979</v>
      </c>
      <c r="AA1259">
        <v>0.54300000000000104</v>
      </c>
      <c r="AB1259">
        <v>0.70699999999999896</v>
      </c>
      <c r="AC1259">
        <v>1.6450000000000014</v>
      </c>
      <c r="AD1259">
        <v>1.7569999999999997</v>
      </c>
      <c r="AE1259">
        <v>1.8339999999999996</v>
      </c>
      <c r="AF1259">
        <v>1.9430000000000001</v>
      </c>
      <c r="AG1259">
        <v>1.84</v>
      </c>
      <c r="AH1259">
        <v>2.4209999999999998</v>
      </c>
      <c r="AI1259">
        <v>1.7270000000000001</v>
      </c>
      <c r="AJ1259">
        <v>1.125</v>
      </c>
      <c r="AK1259">
        <v>1.0589999999999999</v>
      </c>
      <c r="AL1259">
        <v>1.018</v>
      </c>
      <c r="AM1259">
        <v>1.137</v>
      </c>
      <c r="AN1259">
        <v>1.0269999999999999</v>
      </c>
      <c r="AO1259">
        <v>2.0459999999999998</v>
      </c>
      <c r="AP1259">
        <v>1.794</v>
      </c>
      <c r="AQ1259">
        <v>1.641</v>
      </c>
      <c r="AR1259">
        <v>1.7609999999999999</v>
      </c>
      <c r="AS1259">
        <v>2.0680000000000001</v>
      </c>
      <c r="AT1259">
        <v>2.0510000000000002</v>
      </c>
      <c r="AU1259">
        <v>1.615</v>
      </c>
      <c r="AV1259">
        <v>2.274</v>
      </c>
      <c r="AW1259">
        <v>1.6850000000000001</v>
      </c>
      <c r="AX1259">
        <v>0.80500000000000005</v>
      </c>
      <c r="AY1259">
        <v>0.62</v>
      </c>
      <c r="BD12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2301.75</v>
      </c>
      <c r="BE12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2079</v>
      </c>
      <c r="BF12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2301.75</v>
      </c>
      <c r="BG12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2227.5</v>
      </c>
      <c r="BH12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2301.75</v>
      </c>
      <c r="BI12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2227.5</v>
      </c>
      <c r="BJ12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2301.75</v>
      </c>
      <c r="BK12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2301.75</v>
      </c>
      <c r="BL12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2227.5</v>
      </c>
      <c r="BM12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2301.75</v>
      </c>
      <c r="BN12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2227.5</v>
      </c>
      <c r="BO12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2301.75</v>
      </c>
      <c r="BP1259">
        <f>SUM(Таб[[#This Row],[1]:[12]])</f>
        <v>27101.25</v>
      </c>
    </row>
    <row r="1260" spans="2:68" ht="38.25">
      <c r="B1260" t="s">
        <v>2715</v>
      </c>
      <c r="C1260" t="str">
        <f>IF(Таб[[#This Row],[Потужність, МВт]]&lt;0.2,"Мікро",IF(Таб[[#This Row],[Потужність, МВт]]&lt;1,"Міні","Мала"))</f>
        <v>Мала</v>
      </c>
      <c r="D1260" t="s">
        <v>3372</v>
      </c>
      <c r="F1260" t="s">
        <v>3287</v>
      </c>
      <c r="G1260" s="1" t="s">
        <v>2913</v>
      </c>
      <c r="H1260" t="s">
        <v>107</v>
      </c>
      <c r="J1260" s="22">
        <v>1.7</v>
      </c>
      <c r="K1260" s="12"/>
      <c r="L1260" s="12">
        <v>41200</v>
      </c>
      <c r="M1260">
        <v>10</v>
      </c>
      <c r="N1260" s="49" t="s">
        <v>71</v>
      </c>
      <c r="O1260">
        <v>2012</v>
      </c>
      <c r="P1260">
        <v>0.1163</v>
      </c>
      <c r="Q1260" s="10"/>
      <c r="R1260" s="11">
        <f>ROUND(Таб[[#This Row],[Зелений Тариф ЕЦ]]+Таб[[#This Row],[Зелений Тариф ЕЦ]]*Таб[[#This Row],[% надбавки]],4)</f>
        <v>0.1163</v>
      </c>
      <c r="S1260" s="12"/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BD12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417.38400000000001</v>
      </c>
      <c r="BE12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376.99200000000008</v>
      </c>
      <c r="BF12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417.38400000000001</v>
      </c>
      <c r="BG12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403.92000000000007</v>
      </c>
      <c r="BH12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417.38400000000001</v>
      </c>
      <c r="BI12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403.92000000000007</v>
      </c>
      <c r="BJ12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417.38400000000001</v>
      </c>
      <c r="BK12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417.38400000000001</v>
      </c>
      <c r="BL12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403.92000000000007</v>
      </c>
      <c r="BM12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417.38400000000001</v>
      </c>
      <c r="BN12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403.92000000000007</v>
      </c>
      <c r="BO12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417.38400000000001</v>
      </c>
      <c r="BP1260">
        <f>SUM(Таб[[#This Row],[1]:[12]])</f>
        <v>4914.3600000000006</v>
      </c>
    </row>
    <row r="1261" spans="2:68" ht="38.25">
      <c r="B1261" t="s">
        <v>2715</v>
      </c>
      <c r="C1261" t="str">
        <f>IF(Таб[[#This Row],[Потужність, МВт]]&lt;0.2,"Мікро",IF(Таб[[#This Row],[Потужність, МВт]]&lt;1,"Міні","Мала"))</f>
        <v>Міні</v>
      </c>
      <c r="D1261" t="s">
        <v>3372</v>
      </c>
      <c r="F1261" t="s">
        <v>3287</v>
      </c>
      <c r="G1261" s="1" t="s">
        <v>2913</v>
      </c>
      <c r="H1261" t="s">
        <v>107</v>
      </c>
      <c r="J1261" s="22">
        <v>0.6</v>
      </c>
      <c r="K1261" s="12"/>
      <c r="L1261" s="12">
        <v>41200</v>
      </c>
      <c r="M1261">
        <v>10</v>
      </c>
      <c r="N1261" s="49" t="s">
        <v>71</v>
      </c>
      <c r="O1261">
        <v>2012</v>
      </c>
      <c r="P1261">
        <v>0.1163</v>
      </c>
      <c r="Q1261" s="10"/>
      <c r="R1261" s="11">
        <f>ROUND(Таб[[#This Row],[Зелений Тариф ЕЦ]]+Таб[[#This Row],[Зелений Тариф ЕЦ]]*Таб[[#This Row],[% надбавки]],4)</f>
        <v>0.1163</v>
      </c>
      <c r="S1261" s="12"/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BD12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147.31200000000001</v>
      </c>
      <c r="BE12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133.05600000000001</v>
      </c>
      <c r="BF12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147.31200000000001</v>
      </c>
      <c r="BG12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142.56</v>
      </c>
      <c r="BH12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147.31200000000001</v>
      </c>
      <c r="BI12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142.56</v>
      </c>
      <c r="BJ12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147.31200000000001</v>
      </c>
      <c r="BK12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147.31200000000001</v>
      </c>
      <c r="BL12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142.56</v>
      </c>
      <c r="BM12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147.31200000000001</v>
      </c>
      <c r="BN12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142.56</v>
      </c>
      <c r="BO12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147.31200000000001</v>
      </c>
      <c r="BP1261">
        <f>SUM(Таб[[#This Row],[1]:[12]])</f>
        <v>1734.48</v>
      </c>
    </row>
    <row r="1262" spans="2:68" ht="38.25">
      <c r="B1262" t="s">
        <v>2715</v>
      </c>
      <c r="C1262" t="str">
        <f>IF(Таб[[#This Row],[Потужність, МВт]]&lt;0.2,"Мікро",IF(Таб[[#This Row],[Потужність, МВт]]&lt;1,"Міні","Мала"))</f>
        <v>Міні</v>
      </c>
      <c r="D1262" t="s">
        <v>3372</v>
      </c>
      <c r="F1262" t="s">
        <v>3287</v>
      </c>
      <c r="G1262" s="1" t="s">
        <v>2913</v>
      </c>
      <c r="H1262" t="s">
        <v>263</v>
      </c>
      <c r="J1262" s="22">
        <v>0.5</v>
      </c>
      <c r="K1262" s="12"/>
      <c r="L1262" s="12">
        <v>41200</v>
      </c>
      <c r="M1262">
        <v>10</v>
      </c>
      <c r="N1262" s="49" t="s">
        <v>71</v>
      </c>
      <c r="O1262">
        <v>2012</v>
      </c>
      <c r="P1262">
        <v>0.1163</v>
      </c>
      <c r="Q1262" s="10"/>
      <c r="R1262" s="11">
        <f>ROUND(Таб[[#This Row],[Зелений Тариф ЕЦ]]+Таб[[#This Row],[Зелений Тариф ЕЦ]]*Таб[[#This Row],[% надбавки]],4)</f>
        <v>0.1163</v>
      </c>
      <c r="S1262" s="12"/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BD12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122.76</v>
      </c>
      <c r="BE12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110.88</v>
      </c>
      <c r="BF12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122.76</v>
      </c>
      <c r="BG12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118.80000000000001</v>
      </c>
      <c r="BH12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122.76</v>
      </c>
      <c r="BI12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118.80000000000001</v>
      </c>
      <c r="BJ12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122.76</v>
      </c>
      <c r="BK12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122.76</v>
      </c>
      <c r="BL12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118.80000000000001</v>
      </c>
      <c r="BM12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122.76</v>
      </c>
      <c r="BN12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118.80000000000001</v>
      </c>
      <c r="BO12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122.76</v>
      </c>
      <c r="BP1262">
        <f>SUM(Таб[[#This Row],[1]:[12]])</f>
        <v>1445.3999999999999</v>
      </c>
    </row>
    <row r="1263" spans="2:68" ht="38.25">
      <c r="B1263" t="s">
        <v>2715</v>
      </c>
      <c r="C1263" t="str">
        <f>IF(Таб[[#This Row],[Потужність, МВт]]&lt;0.2,"Мікро",IF(Таб[[#This Row],[Потужність, МВт]]&lt;1,"Міні","Мала"))</f>
        <v>Міні</v>
      </c>
      <c r="D1263" t="s">
        <v>3372</v>
      </c>
      <c r="F1263" t="s">
        <v>3287</v>
      </c>
      <c r="G1263" s="1" t="s">
        <v>2913</v>
      </c>
      <c r="H1263" t="s">
        <v>263</v>
      </c>
      <c r="J1263" s="22">
        <v>0.47499999999999998</v>
      </c>
      <c r="K1263" s="12"/>
      <c r="L1263" s="12">
        <v>41200</v>
      </c>
      <c r="M1263">
        <v>10</v>
      </c>
      <c r="N1263" s="49" t="s">
        <v>71</v>
      </c>
      <c r="O1263">
        <v>2012</v>
      </c>
      <c r="P1263">
        <v>0.1163</v>
      </c>
      <c r="Q1263" s="10"/>
      <c r="R1263" s="11">
        <f>ROUND(Таб[[#This Row],[Зелений Тариф ЕЦ]]+Таб[[#This Row],[Зелений Тариф ЕЦ]]*Таб[[#This Row],[% надбавки]],4)</f>
        <v>0.1163</v>
      </c>
      <c r="S1263" s="12"/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BD12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116.62200000000001</v>
      </c>
      <c r="BE12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105.33600000000001</v>
      </c>
      <c r="BF12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116.62200000000001</v>
      </c>
      <c r="BG12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112.85999999999999</v>
      </c>
      <c r="BH12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116.62200000000001</v>
      </c>
      <c r="BI12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112.85999999999999</v>
      </c>
      <c r="BJ12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116.62200000000001</v>
      </c>
      <c r="BK12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116.62200000000001</v>
      </c>
      <c r="BL12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112.85999999999999</v>
      </c>
      <c r="BM12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116.62200000000001</v>
      </c>
      <c r="BN12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112.85999999999999</v>
      </c>
      <c r="BO12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116.62200000000001</v>
      </c>
      <c r="BP1263">
        <f>SUM(Таб[[#This Row],[1]:[12]])</f>
        <v>1373.13</v>
      </c>
    </row>
    <row r="1264" spans="2:68" ht="38.25">
      <c r="B1264" t="s">
        <v>2715</v>
      </c>
      <c r="C1264" t="str">
        <f>IF(Таб[[#This Row],[Потужність, МВт]]&lt;0.2,"Мікро",IF(Таб[[#This Row],[Потужність, МВт]]&lt;1,"Міні","Мала"))</f>
        <v>Міні</v>
      </c>
      <c r="D1264" t="s">
        <v>3372</v>
      </c>
      <c r="F1264" t="s">
        <v>3287</v>
      </c>
      <c r="G1264" s="1" t="s">
        <v>2913</v>
      </c>
      <c r="H1264" t="s">
        <v>263</v>
      </c>
      <c r="J1264" s="22">
        <v>0.375</v>
      </c>
      <c r="K1264" s="12"/>
      <c r="L1264" s="12">
        <v>41200</v>
      </c>
      <c r="M1264">
        <v>10</v>
      </c>
      <c r="N1264" s="49" t="s">
        <v>71</v>
      </c>
      <c r="O1264">
        <v>2012</v>
      </c>
      <c r="P1264">
        <v>0.1163</v>
      </c>
      <c r="Q1264" s="10"/>
      <c r="R1264" s="11">
        <f>ROUND(Таб[[#This Row],[Зелений Тариф ЕЦ]]+Таб[[#This Row],[Зелений Тариф ЕЦ]]*Таб[[#This Row],[% надбавки]],4)</f>
        <v>0.1163</v>
      </c>
      <c r="S1264" s="12"/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BD12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92.070000000000007</v>
      </c>
      <c r="BE12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83.16</v>
      </c>
      <c r="BF12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92.070000000000007</v>
      </c>
      <c r="BG12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89.1</v>
      </c>
      <c r="BH12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92.070000000000007</v>
      </c>
      <c r="BI12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89.1</v>
      </c>
      <c r="BJ12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92.070000000000007</v>
      </c>
      <c r="BK12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92.070000000000007</v>
      </c>
      <c r="BL12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89.1</v>
      </c>
      <c r="BM12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92.070000000000007</v>
      </c>
      <c r="BN12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89.1</v>
      </c>
      <c r="BO12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92.070000000000007</v>
      </c>
      <c r="BP1264">
        <f>SUM(Таб[[#This Row],[1]:[12]])</f>
        <v>1084.0500000000002</v>
      </c>
    </row>
    <row r="1265" spans="2:68" ht="38.25">
      <c r="B1265" t="s">
        <v>2715</v>
      </c>
      <c r="C1265" t="str">
        <f>IF(Таб[[#This Row],[Потужність, МВт]]&lt;0.2,"Мікро",IF(Таб[[#This Row],[Потужність, МВт]]&lt;1,"Міні","Мала"))</f>
        <v>Міні</v>
      </c>
      <c r="D1265" t="s">
        <v>3372</v>
      </c>
      <c r="F1265" t="s">
        <v>3287</v>
      </c>
      <c r="G1265" s="1" t="s">
        <v>2913</v>
      </c>
      <c r="H1265" t="s">
        <v>263</v>
      </c>
      <c r="J1265" s="22">
        <v>0.75</v>
      </c>
      <c r="K1265" s="12"/>
      <c r="L1265" s="12">
        <v>41200</v>
      </c>
      <c r="M1265">
        <v>10</v>
      </c>
      <c r="N1265" s="49" t="s">
        <v>71</v>
      </c>
      <c r="O1265">
        <v>2012</v>
      </c>
      <c r="P1265">
        <v>0.1163</v>
      </c>
      <c r="Q1265" s="10"/>
      <c r="R1265" s="11">
        <f>ROUND(Таб[[#This Row],[Зелений Тариф ЕЦ]]+Таб[[#This Row],[Зелений Тариф ЕЦ]]*Таб[[#This Row],[% надбавки]],4)</f>
        <v>0.1163</v>
      </c>
      <c r="S1265" s="12"/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BD12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184.14000000000001</v>
      </c>
      <c r="BE12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166.32</v>
      </c>
      <c r="BF12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184.14000000000001</v>
      </c>
      <c r="BG12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178.2</v>
      </c>
      <c r="BH12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184.14000000000001</v>
      </c>
      <c r="BI12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178.2</v>
      </c>
      <c r="BJ12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184.14000000000001</v>
      </c>
      <c r="BK12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184.14000000000001</v>
      </c>
      <c r="BL12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178.2</v>
      </c>
      <c r="BM12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184.14000000000001</v>
      </c>
      <c r="BN12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178.2</v>
      </c>
      <c r="BO12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184.14000000000001</v>
      </c>
      <c r="BP1265">
        <f>SUM(Таб[[#This Row],[1]:[12]])</f>
        <v>2168.1000000000004</v>
      </c>
    </row>
    <row r="1266" spans="2:68" ht="38.25">
      <c r="B1266" t="s">
        <v>2715</v>
      </c>
      <c r="C1266" t="str">
        <f>IF(Таб[[#This Row],[Потужність, МВт]]&lt;0.2,"Мікро",IF(Таб[[#This Row],[Потужність, МВт]]&lt;1,"Міні","Мала"))</f>
        <v>Міні</v>
      </c>
      <c r="D1266" t="s">
        <v>3372</v>
      </c>
      <c r="F1266" t="s">
        <v>3287</v>
      </c>
      <c r="G1266" s="1" t="s">
        <v>2935</v>
      </c>
      <c r="H1266" t="s">
        <v>233</v>
      </c>
      <c r="J1266" s="22">
        <v>0.63</v>
      </c>
      <c r="K1266" s="12"/>
      <c r="L1266" s="12">
        <v>40038</v>
      </c>
      <c r="M1266">
        <v>8</v>
      </c>
      <c r="N1266" s="49" t="s">
        <v>60</v>
      </c>
      <c r="O1266">
        <v>2009</v>
      </c>
      <c r="P1266">
        <v>0.1163</v>
      </c>
      <c r="Q1266" s="10"/>
      <c r="R1266" s="11">
        <f>ROUND(Таб[[#This Row],[Зелений Тариф ЕЦ]]+Таб[[#This Row],[Зелений Тариф ЕЦ]]*Таб[[#This Row],[% надбавки]],4)</f>
        <v>0.1163</v>
      </c>
      <c r="S1266" s="12"/>
      <c r="T1266">
        <v>0.14599999999999999</v>
      </c>
      <c r="U1266">
        <v>0.33499999999999996</v>
      </c>
      <c r="V1266">
        <v>0.73000000000000009</v>
      </c>
      <c r="W1266">
        <v>0.52299999999999991</v>
      </c>
      <c r="X1266">
        <v>0.44099999999999984</v>
      </c>
      <c r="Y1266">
        <v>0.21399999999999997</v>
      </c>
      <c r="Z1266">
        <v>0.14300000000000024</v>
      </c>
      <c r="AA1266">
        <v>5.600000000000005E-2</v>
      </c>
      <c r="AB1266">
        <v>9.6000000000000085E-2</v>
      </c>
      <c r="AC1266">
        <v>0.16999999999999993</v>
      </c>
      <c r="AD1266">
        <v>0.37999999999999989</v>
      </c>
      <c r="AE1266">
        <v>0.40899999999999981</v>
      </c>
      <c r="AF1266">
        <v>0.313</v>
      </c>
      <c r="AG1266">
        <v>0.17199999999999999</v>
      </c>
      <c r="AH1266">
        <v>0.44700000000000001</v>
      </c>
      <c r="AI1266">
        <v>0.67200000000000004</v>
      </c>
      <c r="AJ1266">
        <v>0.249</v>
      </c>
      <c r="AK1266">
        <v>8.5999999999999993E-2</v>
      </c>
      <c r="AL1266">
        <v>0.13100000000000001</v>
      </c>
      <c r="AM1266">
        <v>0.128</v>
      </c>
      <c r="AN1266">
        <v>0.129</v>
      </c>
      <c r="AO1266">
        <v>0.16600000000000001</v>
      </c>
      <c r="AP1266">
        <v>0.13200000000000001</v>
      </c>
      <c r="AQ1266">
        <v>0.16200000000000001</v>
      </c>
      <c r="AR1266">
        <v>0.22</v>
      </c>
      <c r="AS1266">
        <v>0.23599999999999999</v>
      </c>
      <c r="AT1266">
        <v>0.45600000000000002</v>
      </c>
      <c r="AU1266">
        <v>0.59599999999999997</v>
      </c>
      <c r="AV1266">
        <v>0.56599999999999995</v>
      </c>
      <c r="AW1266">
        <v>0.28299999999999997</v>
      </c>
      <c r="AX1266">
        <v>8.8999999999999996E-2</v>
      </c>
      <c r="AY1266">
        <v>5.5E-2</v>
      </c>
      <c r="BD12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154.67759999999998</v>
      </c>
      <c r="BE12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139.7088</v>
      </c>
      <c r="BF12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154.67759999999998</v>
      </c>
      <c r="BG12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149.68799999999999</v>
      </c>
      <c r="BH12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154.67759999999998</v>
      </c>
      <c r="BI12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149.68799999999999</v>
      </c>
      <c r="BJ12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154.67759999999998</v>
      </c>
      <c r="BK12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154.67759999999998</v>
      </c>
      <c r="BL12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149.68799999999999</v>
      </c>
      <c r="BM12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154.67759999999998</v>
      </c>
      <c r="BN12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149.68799999999999</v>
      </c>
      <c r="BO12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154.67759999999998</v>
      </c>
      <c r="BP1266">
        <f>SUM(Таб[[#This Row],[1]:[12]])</f>
        <v>1821.2040000000002</v>
      </c>
    </row>
    <row r="1267" spans="2:68" ht="38.25">
      <c r="C1267" t="str">
        <f>IF(Таб[[#This Row],[Потужність, МВт]]&lt;0.2,"Мікро",IF(Таб[[#This Row],[Потужність, МВт]]&lt;1,"Міні","Мала"))</f>
        <v>Мікро</v>
      </c>
      <c r="D1267" t="s">
        <v>3372</v>
      </c>
      <c r="F1267" t="s">
        <v>3287</v>
      </c>
      <c r="G1267" s="1" t="s">
        <v>2935</v>
      </c>
      <c r="H1267" t="s">
        <v>172</v>
      </c>
      <c r="J1267" s="22"/>
      <c r="K1267" s="12"/>
      <c r="L1267" s="12">
        <v>41263</v>
      </c>
      <c r="M1267">
        <v>12</v>
      </c>
      <c r="N1267" s="49" t="s">
        <v>71</v>
      </c>
      <c r="O1267">
        <v>2012</v>
      </c>
      <c r="P1267">
        <v>0</v>
      </c>
      <c r="Q1267" s="10"/>
      <c r="R1267" s="11">
        <f>ROUND(Таб[[#This Row],[Зелений Тариф ЕЦ]]+Таб[[#This Row],[Зелений Тариф ЕЦ]]*Таб[[#This Row],[% надбавки]],4)</f>
        <v>0</v>
      </c>
      <c r="S1267" s="12"/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BD12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2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2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2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2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2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2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2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2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2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2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2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267">
        <f>SUM(Таб[[#This Row],[1]:[12]])</f>
        <v>0</v>
      </c>
    </row>
    <row r="1268" spans="2:68" ht="38.25">
      <c r="B1268" t="s">
        <v>2715</v>
      </c>
      <c r="C1268" t="str">
        <f>IF(Таб[[#This Row],[Потужність, МВт]]&lt;0.2,"Мікро",IF(Таб[[#This Row],[Потужність, МВт]]&lt;1,"Міні","Мала"))</f>
        <v>Міні</v>
      </c>
      <c r="D1268" t="s">
        <v>3372</v>
      </c>
      <c r="F1268" t="s">
        <v>3287</v>
      </c>
      <c r="G1268" s="1" t="s">
        <v>2935</v>
      </c>
      <c r="H1268" t="s">
        <v>62</v>
      </c>
      <c r="J1268" s="22">
        <v>0.65500000000000003</v>
      </c>
      <c r="K1268" s="12"/>
      <c r="L1268" s="12">
        <v>41263</v>
      </c>
      <c r="M1268">
        <v>12</v>
      </c>
      <c r="N1268" s="49" t="s">
        <v>71</v>
      </c>
      <c r="O1268">
        <v>2012</v>
      </c>
      <c r="P1268">
        <v>0.1163</v>
      </c>
      <c r="Q1268" s="10"/>
      <c r="R1268" s="11">
        <f>ROUND(Таб[[#This Row],[Зелений Тариф ЕЦ]]+Таб[[#This Row],[Зелений Тариф ЕЦ]]*Таб[[#This Row],[% надбавки]],4)</f>
        <v>0.1163</v>
      </c>
      <c r="S1268" s="12"/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BD12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160.81560000000002</v>
      </c>
      <c r="BE12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145.25280000000001</v>
      </c>
      <c r="BF12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160.81560000000002</v>
      </c>
      <c r="BG12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155.62800000000001</v>
      </c>
      <c r="BH12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160.81560000000002</v>
      </c>
      <c r="BI12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155.62800000000001</v>
      </c>
      <c r="BJ12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160.81560000000002</v>
      </c>
      <c r="BK12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160.81560000000002</v>
      </c>
      <c r="BL12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155.62800000000001</v>
      </c>
      <c r="BM12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160.81560000000002</v>
      </c>
      <c r="BN12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155.62800000000001</v>
      </c>
      <c r="BO12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160.81560000000002</v>
      </c>
      <c r="BP1268">
        <f>SUM(Таб[[#This Row],[1]:[12]])</f>
        <v>1893.4740000000002</v>
      </c>
    </row>
    <row r="1269" spans="2:68" ht="38.25">
      <c r="B1269" t="s">
        <v>2715</v>
      </c>
      <c r="C1269" t="str">
        <f>IF(Таб[[#This Row],[Потужність, МВт]]&lt;0.2,"Мікро",IF(Таб[[#This Row],[Потужність, МВт]]&lt;1,"Міні","Мала"))</f>
        <v>Мікро</v>
      </c>
      <c r="G1269" s="1" t="s">
        <v>2943</v>
      </c>
      <c r="H1269" t="s">
        <v>107</v>
      </c>
      <c r="J1269" s="22">
        <v>0.16</v>
      </c>
      <c r="K1269" s="12"/>
      <c r="L1269" s="12">
        <v>41599</v>
      </c>
      <c r="M1269">
        <v>11</v>
      </c>
      <c r="N1269" s="49" t="s">
        <v>71</v>
      </c>
      <c r="O1269">
        <v>2013</v>
      </c>
      <c r="P1269">
        <v>0.19389999999999999</v>
      </c>
      <c r="Q1269" s="10"/>
      <c r="R1269" s="11">
        <f>ROUND(Таб[[#This Row],[Зелений Тариф ЕЦ]]+Таб[[#This Row],[Зелений Тариф ЕЦ]]*Таб[[#This Row],[% надбавки]],4)</f>
        <v>0.19389999999999999</v>
      </c>
      <c r="S1269" s="12"/>
      <c r="T1269">
        <v>5.0000000000000001E-3</v>
      </c>
      <c r="U1269">
        <v>1.2999999999999998E-2</v>
      </c>
      <c r="V1269">
        <v>5.3999999999999992E-2</v>
      </c>
      <c r="W1269">
        <v>2.8000000000000011E-2</v>
      </c>
      <c r="X1269">
        <v>2.9999999999999888E-3</v>
      </c>
      <c r="Y1269">
        <v>0</v>
      </c>
      <c r="Z1269">
        <v>1.0000000000000009E-3</v>
      </c>
      <c r="AA1269">
        <v>0</v>
      </c>
      <c r="AB1269">
        <v>1.2000000000000011E-2</v>
      </c>
      <c r="AC1269">
        <v>3.599999999999999E-2</v>
      </c>
      <c r="AD1269">
        <v>1.2000000000000011E-2</v>
      </c>
      <c r="AE1269">
        <v>7.9999999999999793E-3</v>
      </c>
      <c r="AF1269">
        <v>3.1E-2</v>
      </c>
      <c r="AG1269">
        <v>2.7E-2</v>
      </c>
      <c r="AH1269">
        <v>4.2999999999999997E-2</v>
      </c>
      <c r="AI1269">
        <v>0.12</v>
      </c>
      <c r="AJ1269">
        <v>5.2999999999999999E-2</v>
      </c>
      <c r="AK1269">
        <v>1.7000000000000001E-2</v>
      </c>
      <c r="AL1269">
        <v>2.4E-2</v>
      </c>
      <c r="AM1269">
        <v>3.5999999999999997E-2</v>
      </c>
      <c r="AN1269">
        <v>1.2999999999999999E-2</v>
      </c>
      <c r="AO1269">
        <v>4.5999999999999999E-2</v>
      </c>
      <c r="AP1269">
        <v>5.7000000000000002E-2</v>
      </c>
      <c r="AQ1269">
        <v>5.8000000000000003E-2</v>
      </c>
      <c r="AR1269">
        <v>8.5999999999999993E-2</v>
      </c>
      <c r="AS1269">
        <v>0.105</v>
      </c>
      <c r="AT1269">
        <v>0.109</v>
      </c>
      <c r="AU1269">
        <v>8.5000000000000006E-2</v>
      </c>
      <c r="AV1269">
        <v>0.09</v>
      </c>
      <c r="AW1269">
        <v>4.2999999999999997E-2</v>
      </c>
      <c r="AX1269">
        <v>1.7000000000000001E-2</v>
      </c>
      <c r="AY1269">
        <v>2.4E-2</v>
      </c>
      <c r="BD12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39.283200000000008</v>
      </c>
      <c r="BE12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35.4816</v>
      </c>
      <c r="BF12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39.283200000000008</v>
      </c>
      <c r="BG12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38.016000000000005</v>
      </c>
      <c r="BH12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39.283200000000008</v>
      </c>
      <c r="BI12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38.016000000000005</v>
      </c>
      <c r="BJ12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39.283200000000008</v>
      </c>
      <c r="BK12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39.283200000000008</v>
      </c>
      <c r="BL12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38.016000000000005</v>
      </c>
      <c r="BM12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39.283200000000008</v>
      </c>
      <c r="BN12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38.016000000000005</v>
      </c>
      <c r="BO12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39.283200000000008</v>
      </c>
      <c r="BP1269">
        <f>SUM(Таб[[#This Row],[1]:[12]])</f>
        <v>462.52800000000019</v>
      </c>
    </row>
    <row r="1270" spans="2:68" ht="38.25">
      <c r="B1270" t="s">
        <v>2715</v>
      </c>
      <c r="C1270" t="str">
        <f>IF(Таб[[#This Row],[Потужність, МВт]]&lt;0.2,"Мікро",IF(Таб[[#This Row],[Потужність, МВт]]&lt;1,"Міні","Мала"))</f>
        <v>Мікро</v>
      </c>
      <c r="G1270" s="1" t="s">
        <v>2943</v>
      </c>
      <c r="H1270" t="s">
        <v>122</v>
      </c>
      <c r="J1270" s="22">
        <v>0.13</v>
      </c>
      <c r="K1270" s="12"/>
      <c r="L1270" s="12">
        <v>43111</v>
      </c>
      <c r="M1270">
        <v>1</v>
      </c>
      <c r="N1270" s="49" t="s">
        <v>67</v>
      </c>
      <c r="O1270">
        <v>2018</v>
      </c>
      <c r="P1270">
        <v>0.17449999999999999</v>
      </c>
      <c r="Q1270" s="10">
        <v>0.1</v>
      </c>
      <c r="R1270" s="11">
        <f>ROUND(Таб[[#This Row],[Зелений Тариф ЕЦ]]+Таб[[#This Row],[Зелений Тариф ЕЦ]]*Таб[[#This Row],[% надбавки]],4)</f>
        <v>0.192</v>
      </c>
      <c r="S1270" s="12">
        <v>43300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BD12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31.9176</v>
      </c>
      <c r="BE12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28.828800000000001</v>
      </c>
      <c r="BF12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31.9176</v>
      </c>
      <c r="BG12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30.887999999999998</v>
      </c>
      <c r="BH12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31.9176</v>
      </c>
      <c r="BI12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30.887999999999998</v>
      </c>
      <c r="BJ12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31.9176</v>
      </c>
      <c r="BK12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31.9176</v>
      </c>
      <c r="BL12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30.887999999999998</v>
      </c>
      <c r="BM12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31.9176</v>
      </c>
      <c r="BN12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30.887999999999998</v>
      </c>
      <c r="BO12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31.9176</v>
      </c>
      <c r="BP1270">
        <f>SUM(Таб[[#This Row],[1]:[12]])</f>
        <v>375.80399999999992</v>
      </c>
    </row>
    <row r="1271" spans="2:68" ht="38.25">
      <c r="B1271" t="s">
        <v>2715</v>
      </c>
      <c r="C1271" t="str">
        <f>IF(Таб[[#This Row],[Потужність, МВт]]&lt;0.2,"Мікро",IF(Таб[[#This Row],[Потужність, МВт]]&lt;1,"Міні","Мала"))</f>
        <v>Міні</v>
      </c>
      <c r="G1271" s="1" t="s">
        <v>763</v>
      </c>
      <c r="H1271" t="s">
        <v>198</v>
      </c>
      <c r="J1271" s="22">
        <v>0.35</v>
      </c>
      <c r="K1271" s="12"/>
      <c r="L1271" s="12">
        <v>40026</v>
      </c>
      <c r="M1271">
        <v>8</v>
      </c>
      <c r="N1271" s="49" t="s">
        <v>60</v>
      </c>
      <c r="O1271">
        <v>2009</v>
      </c>
      <c r="P1271">
        <v>0.1163</v>
      </c>
      <c r="Q1271" s="10"/>
      <c r="R1271" s="11">
        <f>ROUND(Таб[[#This Row],[Зелений Тариф ЕЦ]]+Таб[[#This Row],[Зелений Тариф ЕЦ]]*Таб[[#This Row],[% надбавки]],4)</f>
        <v>0.1163</v>
      </c>
      <c r="S1271" s="12"/>
      <c r="T1271">
        <v>2.1179999999999999</v>
      </c>
      <c r="U1271">
        <v>3.15</v>
      </c>
      <c r="V1271">
        <v>6.79</v>
      </c>
      <c r="W1271">
        <v>3.4979999999999993</v>
      </c>
      <c r="X1271">
        <v>2.1540000000000017</v>
      </c>
      <c r="Y1271">
        <v>1.7940000000000005</v>
      </c>
      <c r="Z1271">
        <v>1.5279999999999987</v>
      </c>
      <c r="AA1271">
        <v>1.1430000000000007</v>
      </c>
      <c r="AB1271">
        <v>1.7409999999999997</v>
      </c>
      <c r="AC1271">
        <v>2.0539999999999985</v>
      </c>
      <c r="AD1271">
        <v>2.9470000000000027</v>
      </c>
      <c r="AE1271">
        <v>3.3410000000000011</v>
      </c>
      <c r="AF1271">
        <v>3.1779999999999999</v>
      </c>
      <c r="AG1271">
        <v>2.645</v>
      </c>
      <c r="AH1271">
        <v>5.3319999999999999</v>
      </c>
      <c r="AI1271">
        <v>3.7869999999999999</v>
      </c>
      <c r="AJ1271">
        <v>1.353</v>
      </c>
      <c r="AK1271">
        <v>1.345</v>
      </c>
      <c r="AL1271">
        <v>2.1280000000000001</v>
      </c>
      <c r="AM1271">
        <v>1.7549999999999999</v>
      </c>
      <c r="AN1271">
        <v>1.607</v>
      </c>
      <c r="AO1271">
        <v>2.2789999999999999</v>
      </c>
      <c r="AP1271">
        <v>2.13</v>
      </c>
      <c r="AQ1271">
        <v>2.5990000000000002</v>
      </c>
      <c r="AR1271">
        <v>2.843</v>
      </c>
      <c r="AS1271">
        <v>4.0650000000000004</v>
      </c>
      <c r="AT1271">
        <v>3.48</v>
      </c>
      <c r="AU1271">
        <v>2.48</v>
      </c>
      <c r="AV1271">
        <v>4.5789999999999997</v>
      </c>
      <c r="AW1271">
        <v>4.5309999999999997</v>
      </c>
      <c r="AX1271">
        <v>1.81</v>
      </c>
      <c r="AY1271">
        <v>1.298</v>
      </c>
      <c r="BD12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85.931999999999988</v>
      </c>
      <c r="BE12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77.616</v>
      </c>
      <c r="BF12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85.931999999999988</v>
      </c>
      <c r="BG12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83.16</v>
      </c>
      <c r="BH12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85.931999999999988</v>
      </c>
      <c r="BI12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83.16</v>
      </c>
      <c r="BJ12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85.931999999999988</v>
      </c>
      <c r="BK12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85.931999999999988</v>
      </c>
      <c r="BL12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83.16</v>
      </c>
      <c r="BM12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85.931999999999988</v>
      </c>
      <c r="BN12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83.16</v>
      </c>
      <c r="BO12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85.931999999999988</v>
      </c>
      <c r="BP1271">
        <f>SUM(Таб[[#This Row],[1]:[12]])</f>
        <v>1011.78</v>
      </c>
    </row>
    <row r="1272" spans="2:68" ht="38.25">
      <c r="B1272" t="s">
        <v>2715</v>
      </c>
      <c r="C1272" t="str">
        <f>IF(Таб[[#This Row],[Потужність, МВт]]&lt;0.2,"Мікро",IF(Таб[[#This Row],[Потужність, МВт]]&lt;1,"Міні","Мала"))</f>
        <v>Міні</v>
      </c>
      <c r="G1272" s="1" t="s">
        <v>763</v>
      </c>
      <c r="H1272" t="s">
        <v>198</v>
      </c>
      <c r="J1272" s="22">
        <v>0.26500000000000001</v>
      </c>
      <c r="K1272" s="12"/>
      <c r="L1272" s="12">
        <v>40026</v>
      </c>
      <c r="M1272">
        <v>8</v>
      </c>
      <c r="N1272" s="49" t="s">
        <v>60</v>
      </c>
      <c r="O1272">
        <v>2009</v>
      </c>
      <c r="P1272">
        <v>0.1163</v>
      </c>
      <c r="Q1272" s="10"/>
      <c r="R1272" s="11">
        <f>ROUND(Таб[[#This Row],[Зелений Тариф ЕЦ]]+Таб[[#This Row],[Зелений Тариф ЕЦ]]*Таб[[#This Row],[% надбавки]],4)</f>
        <v>0.1163</v>
      </c>
      <c r="S1272" s="12"/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BD12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65.06280000000001</v>
      </c>
      <c r="BE12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58.766400000000004</v>
      </c>
      <c r="BF12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65.06280000000001</v>
      </c>
      <c r="BG12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62.964000000000013</v>
      </c>
      <c r="BH12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65.06280000000001</v>
      </c>
      <c r="BI12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62.964000000000013</v>
      </c>
      <c r="BJ12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65.06280000000001</v>
      </c>
      <c r="BK12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65.06280000000001</v>
      </c>
      <c r="BL12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62.964000000000013</v>
      </c>
      <c r="BM12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65.06280000000001</v>
      </c>
      <c r="BN12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62.964000000000013</v>
      </c>
      <c r="BO12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65.06280000000001</v>
      </c>
      <c r="BP1272">
        <f>SUM(Таб[[#This Row],[1]:[12]])</f>
        <v>766.06200000000024</v>
      </c>
    </row>
    <row r="1273" spans="2:68" ht="38.25">
      <c r="B1273" t="s">
        <v>2715</v>
      </c>
      <c r="C1273" t="str">
        <f>IF(Таб[[#This Row],[Потужність, МВт]]&lt;0.2,"Мікро",IF(Таб[[#This Row],[Потужність, МВт]]&lt;1,"Міні","Мала"))</f>
        <v>Мала</v>
      </c>
      <c r="G1273" s="1" t="s">
        <v>763</v>
      </c>
      <c r="H1273" t="s">
        <v>198</v>
      </c>
      <c r="J1273" s="22">
        <v>7.5</v>
      </c>
      <c r="K1273" s="12"/>
      <c r="L1273" s="12">
        <v>40026</v>
      </c>
      <c r="M1273">
        <v>8</v>
      </c>
      <c r="N1273" s="49" t="s">
        <v>60</v>
      </c>
      <c r="O1273">
        <v>2009</v>
      </c>
      <c r="P1273">
        <v>0.1163</v>
      </c>
      <c r="Q1273" s="10"/>
      <c r="R1273" s="11">
        <f>ROUND(Таб[[#This Row],[Зелений Тариф ЕЦ]]+Таб[[#This Row],[Зелений Тариф ЕЦ]]*Таб[[#This Row],[% надбавки]],4)</f>
        <v>0.1163</v>
      </c>
      <c r="S1273" s="12"/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BD12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1841.4</v>
      </c>
      <c r="BE12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1663.1999999999998</v>
      </c>
      <c r="BF12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1841.4</v>
      </c>
      <c r="BG12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1782</v>
      </c>
      <c r="BH12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1841.4</v>
      </c>
      <c r="BI12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1782</v>
      </c>
      <c r="BJ12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1841.4</v>
      </c>
      <c r="BK12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1841.4</v>
      </c>
      <c r="BL12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1782</v>
      </c>
      <c r="BM12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1841.4</v>
      </c>
      <c r="BN12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1782</v>
      </c>
      <c r="BO12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1841.4</v>
      </c>
      <c r="BP1273">
        <f>SUM(Таб[[#This Row],[1]:[12]])</f>
        <v>21681</v>
      </c>
    </row>
    <row r="1274" spans="2:68" ht="38.25">
      <c r="B1274" t="s">
        <v>2715</v>
      </c>
      <c r="C1274" t="str">
        <f>IF(Таб[[#This Row],[Потужність, МВт]]&lt;0.2,"Мікро",IF(Таб[[#This Row],[Потужність, МВт]]&lt;1,"Міні","Мала"))</f>
        <v>Міні</v>
      </c>
      <c r="G1274" s="1" t="s">
        <v>763</v>
      </c>
      <c r="H1274" t="s">
        <v>198</v>
      </c>
      <c r="J1274" s="22">
        <v>0.64</v>
      </c>
      <c r="K1274" s="12"/>
      <c r="L1274" s="12">
        <v>40026</v>
      </c>
      <c r="M1274">
        <v>8</v>
      </c>
      <c r="N1274" s="49" t="s">
        <v>60</v>
      </c>
      <c r="O1274">
        <v>2009</v>
      </c>
      <c r="P1274">
        <v>0.1163</v>
      </c>
      <c r="Q1274" s="10"/>
      <c r="R1274" s="11">
        <f>ROUND(Таб[[#This Row],[Зелений Тариф ЕЦ]]+Таб[[#This Row],[Зелений Тариф ЕЦ]]*Таб[[#This Row],[% надбавки]],4)</f>
        <v>0.1163</v>
      </c>
      <c r="S1274" s="12"/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BD127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157.13280000000003</v>
      </c>
      <c r="BE127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141.9264</v>
      </c>
      <c r="BF127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157.13280000000003</v>
      </c>
      <c r="BG127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152.06400000000002</v>
      </c>
      <c r="BH127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157.13280000000003</v>
      </c>
      <c r="BI127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152.06400000000002</v>
      </c>
      <c r="BJ127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157.13280000000003</v>
      </c>
      <c r="BK127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157.13280000000003</v>
      </c>
      <c r="BL127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152.06400000000002</v>
      </c>
      <c r="BM127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157.13280000000003</v>
      </c>
      <c r="BN127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152.06400000000002</v>
      </c>
      <c r="BO127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157.13280000000003</v>
      </c>
      <c r="BP1274">
        <f>SUM(Таб[[#This Row],[1]:[12]])</f>
        <v>1850.1120000000008</v>
      </c>
    </row>
    <row r="1275" spans="2:68" ht="38.25">
      <c r="B1275" t="s">
        <v>2715</v>
      </c>
      <c r="C1275" t="str">
        <f>IF(Таб[[#This Row],[Потужність, МВт]]&lt;0.2,"Мікро",IF(Таб[[#This Row],[Потужність, МВт]]&lt;1,"Міні","Мала"))</f>
        <v>Міні</v>
      </c>
      <c r="G1275" s="1" t="s">
        <v>763</v>
      </c>
      <c r="H1275" t="s">
        <v>65</v>
      </c>
      <c r="J1275" s="22">
        <v>0.378</v>
      </c>
      <c r="K1275" s="12"/>
      <c r="L1275" s="12">
        <v>40909</v>
      </c>
      <c r="M1275">
        <v>1</v>
      </c>
      <c r="N1275" s="49" t="s">
        <v>67</v>
      </c>
      <c r="O1275">
        <v>2012</v>
      </c>
      <c r="P1275">
        <v>0.1163</v>
      </c>
      <c r="Q1275" s="10"/>
      <c r="R1275" s="11">
        <f>ROUND(Таб[[#This Row],[Зелений Тариф ЕЦ]]+Таб[[#This Row],[Зелений Тариф ЕЦ]]*Таб[[#This Row],[% надбавки]],4)</f>
        <v>0.1163</v>
      </c>
      <c r="S1275" s="12"/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BD127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92.806560000000005</v>
      </c>
      <c r="BE127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83.825280000000006</v>
      </c>
      <c r="BF127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92.806560000000005</v>
      </c>
      <c r="BG127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89.812799999999996</v>
      </c>
      <c r="BH127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92.806560000000005</v>
      </c>
      <c r="BI127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89.812799999999996</v>
      </c>
      <c r="BJ127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92.806560000000005</v>
      </c>
      <c r="BK127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92.806560000000005</v>
      </c>
      <c r="BL127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89.812799999999996</v>
      </c>
      <c r="BM127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92.806560000000005</v>
      </c>
      <c r="BN127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89.812799999999996</v>
      </c>
      <c r="BO127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92.806560000000005</v>
      </c>
      <c r="BP1275">
        <f>SUM(Таб[[#This Row],[1]:[12]])</f>
        <v>1092.7224000000001</v>
      </c>
    </row>
    <row r="1276" spans="2:68" ht="38.25">
      <c r="B1276" t="s">
        <v>2715</v>
      </c>
      <c r="C1276" t="str">
        <f>IF(Таб[[#This Row],[Потужність, МВт]]&lt;0.2,"Мікро",IF(Таб[[#This Row],[Потужність, МВт]]&lt;1,"Міні","Мала"))</f>
        <v>Міні</v>
      </c>
      <c r="G1276" s="1" t="s">
        <v>763</v>
      </c>
      <c r="H1276" t="s">
        <v>198</v>
      </c>
      <c r="J1276" s="22">
        <v>0.2</v>
      </c>
      <c r="K1276" s="12"/>
      <c r="L1276" s="12">
        <v>40026</v>
      </c>
      <c r="M1276">
        <v>8</v>
      </c>
      <c r="N1276" s="49" t="s">
        <v>60</v>
      </c>
      <c r="O1276">
        <v>2009</v>
      </c>
      <c r="P1276">
        <v>0.1163</v>
      </c>
      <c r="Q1276" s="10"/>
      <c r="R1276" s="11">
        <f>ROUND(Таб[[#This Row],[Зелений Тариф ЕЦ]]+Таб[[#This Row],[Зелений Тариф ЕЦ]]*Таб[[#This Row],[% надбавки]],4)</f>
        <v>0.1163</v>
      </c>
      <c r="S1276" s="12"/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BD127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49.104000000000006</v>
      </c>
      <c r="BE127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44.352000000000004</v>
      </c>
      <c r="BF127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49.104000000000006</v>
      </c>
      <c r="BG127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47.519999999999996</v>
      </c>
      <c r="BH127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49.104000000000006</v>
      </c>
      <c r="BI127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47.519999999999996</v>
      </c>
      <c r="BJ127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49.104000000000006</v>
      </c>
      <c r="BK127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49.104000000000006</v>
      </c>
      <c r="BL127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47.519999999999996</v>
      </c>
      <c r="BM127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49.104000000000006</v>
      </c>
      <c r="BN127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47.519999999999996</v>
      </c>
      <c r="BO127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49.104000000000006</v>
      </c>
      <c r="BP1276">
        <f>SUM(Таб[[#This Row],[1]:[12]])</f>
        <v>578.16000000000008</v>
      </c>
    </row>
    <row r="1277" spans="2:68" ht="38.25">
      <c r="B1277" t="s">
        <v>2715</v>
      </c>
      <c r="C1277" t="str">
        <f>IF(Таб[[#This Row],[Потужність, МВт]]&lt;0.2,"Мікро",IF(Таб[[#This Row],[Потужність, МВт]]&lt;1,"Міні","Мала"))</f>
        <v>Мала</v>
      </c>
      <c r="G1277" s="1" t="s">
        <v>763</v>
      </c>
      <c r="H1277" t="s">
        <v>198</v>
      </c>
      <c r="J1277" s="22">
        <v>1.05</v>
      </c>
      <c r="K1277" s="12"/>
      <c r="L1277" s="12">
        <v>40026</v>
      </c>
      <c r="M1277">
        <v>8</v>
      </c>
      <c r="N1277" s="49" t="s">
        <v>60</v>
      </c>
      <c r="O1277">
        <v>2009</v>
      </c>
      <c r="P1277">
        <v>0.1163</v>
      </c>
      <c r="Q1277" s="10"/>
      <c r="R1277" s="11">
        <f>ROUND(Таб[[#This Row],[Зелений Тариф ЕЦ]]+Таб[[#This Row],[Зелений Тариф ЕЦ]]*Таб[[#This Row],[% надбавки]],4)</f>
        <v>0.1163</v>
      </c>
      <c r="S1277" s="12"/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BD127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257.79599999999999</v>
      </c>
      <c r="BE127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232.84800000000004</v>
      </c>
      <c r="BF127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257.79599999999999</v>
      </c>
      <c r="BG127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249.48000000000002</v>
      </c>
      <c r="BH127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257.79599999999999</v>
      </c>
      <c r="BI127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249.48000000000002</v>
      </c>
      <c r="BJ127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257.79599999999999</v>
      </c>
      <c r="BK127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257.79599999999999</v>
      </c>
      <c r="BL127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249.48000000000002</v>
      </c>
      <c r="BM127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257.79599999999999</v>
      </c>
      <c r="BN127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249.48000000000002</v>
      </c>
      <c r="BO127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257.79599999999999</v>
      </c>
      <c r="BP1277">
        <f>SUM(Таб[[#This Row],[1]:[12]])</f>
        <v>3035.3399999999997</v>
      </c>
    </row>
    <row r="1278" spans="2:68" ht="38.25">
      <c r="B1278" t="s">
        <v>2715</v>
      </c>
      <c r="C1278" t="str">
        <f>IF(Таб[[#This Row],[Потужність, МВт]]&lt;0.2,"Мікро",IF(Таб[[#This Row],[Потужність, МВт]]&lt;1,"Міні","Мала"))</f>
        <v>Міні</v>
      </c>
      <c r="G1278" s="1" t="s">
        <v>763</v>
      </c>
      <c r="H1278" t="s">
        <v>198</v>
      </c>
      <c r="J1278" s="22">
        <v>0.52800000000000002</v>
      </c>
      <c r="K1278" s="12"/>
      <c r="L1278" s="12">
        <v>40026</v>
      </c>
      <c r="M1278">
        <v>8</v>
      </c>
      <c r="N1278" s="49" t="s">
        <v>60</v>
      </c>
      <c r="O1278">
        <v>2009</v>
      </c>
      <c r="P1278">
        <v>0.1163</v>
      </c>
      <c r="Q1278" s="10"/>
      <c r="R1278" s="11">
        <f>ROUND(Таб[[#This Row],[Зелений Тариф ЕЦ]]+Таб[[#This Row],[Зелений Тариф ЕЦ]]*Таб[[#This Row],[% надбавки]],4)</f>
        <v>0.1163</v>
      </c>
      <c r="S1278" s="12"/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BD127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129.63455999999999</v>
      </c>
      <c r="BE127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117.08928</v>
      </c>
      <c r="BF127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129.63455999999999</v>
      </c>
      <c r="BG127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125.4528</v>
      </c>
      <c r="BH127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129.63455999999999</v>
      </c>
      <c r="BI127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125.4528</v>
      </c>
      <c r="BJ127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129.63455999999999</v>
      </c>
      <c r="BK127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129.63455999999999</v>
      </c>
      <c r="BL127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125.4528</v>
      </c>
      <c r="BM127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129.63455999999999</v>
      </c>
      <c r="BN127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125.4528</v>
      </c>
      <c r="BO127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129.63455999999999</v>
      </c>
      <c r="BP1278">
        <f>SUM(Таб[[#This Row],[1]:[12]])</f>
        <v>1526.3423999999998</v>
      </c>
    </row>
    <row r="1279" spans="2:68" ht="38.25">
      <c r="B1279" t="s">
        <v>2715</v>
      </c>
      <c r="C1279" t="str">
        <f>IF(Таб[[#This Row],[Потужність, МВт]]&lt;0.2,"Мікро",IF(Таб[[#This Row],[Потужність, МВт]]&lt;1,"Міні","Мала"))</f>
        <v>Міні</v>
      </c>
      <c r="G1279" s="1" t="s">
        <v>763</v>
      </c>
      <c r="H1279" t="s">
        <v>198</v>
      </c>
      <c r="J1279" s="22">
        <v>0.26400000000000001</v>
      </c>
      <c r="K1279" s="12"/>
      <c r="L1279" s="12">
        <v>40794</v>
      </c>
      <c r="M1279">
        <v>9</v>
      </c>
      <c r="N1279" s="49" t="s">
        <v>60</v>
      </c>
      <c r="O1279">
        <v>2011</v>
      </c>
      <c r="P1279">
        <v>0.1163</v>
      </c>
      <c r="Q1279" s="10"/>
      <c r="R1279" s="11">
        <f>ROUND(Таб[[#This Row],[Зелений Тариф ЕЦ]]+Таб[[#This Row],[Зелений Тариф ЕЦ]]*Таб[[#This Row],[% надбавки]],4)</f>
        <v>0.1163</v>
      </c>
      <c r="S1279" s="12"/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BD127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64.817279999999997</v>
      </c>
      <c r="BE127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58.544640000000001</v>
      </c>
      <c r="BF127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64.817279999999997</v>
      </c>
      <c r="BG127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62.726399999999998</v>
      </c>
      <c r="BH127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64.817279999999997</v>
      </c>
      <c r="BI127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62.726399999999998</v>
      </c>
      <c r="BJ127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64.817279999999997</v>
      </c>
      <c r="BK127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64.817279999999997</v>
      </c>
      <c r="BL127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62.726399999999998</v>
      </c>
      <c r="BM127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64.817279999999997</v>
      </c>
      <c r="BN127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62.726399999999998</v>
      </c>
      <c r="BO127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64.817279999999997</v>
      </c>
      <c r="BP1279">
        <f>SUM(Таб[[#This Row],[1]:[12]])</f>
        <v>763.17119999999989</v>
      </c>
    </row>
    <row r="1280" spans="2:68" ht="38.25">
      <c r="B1280" t="s">
        <v>2715</v>
      </c>
      <c r="C1280" t="str">
        <f>IF(Таб[[#This Row],[Потужність, МВт]]&lt;0.2,"Мікро",IF(Таб[[#This Row],[Потужність, МВт]]&lt;1,"Міні","Мала"))</f>
        <v>Міні</v>
      </c>
      <c r="G1280" s="1" t="s">
        <v>763</v>
      </c>
      <c r="H1280" t="s">
        <v>65</v>
      </c>
      <c r="J1280" s="22">
        <v>0.9</v>
      </c>
      <c r="K1280" s="12"/>
      <c r="L1280" s="12">
        <v>40026</v>
      </c>
      <c r="M1280">
        <v>8</v>
      </c>
      <c r="N1280" s="49" t="s">
        <v>60</v>
      </c>
      <c r="O1280">
        <v>2009</v>
      </c>
      <c r="P1280">
        <v>0.1163</v>
      </c>
      <c r="Q1280" s="10"/>
      <c r="R1280" s="11">
        <f>ROUND(Таб[[#This Row],[Зелений Тариф ЕЦ]]+Таб[[#This Row],[Зелений Тариф ЕЦ]]*Таб[[#This Row],[% надбавки]],4)</f>
        <v>0.1163</v>
      </c>
      <c r="S1280" s="12"/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BD128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220.96800000000002</v>
      </c>
      <c r="BE128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199.584</v>
      </c>
      <c r="BF128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220.96800000000002</v>
      </c>
      <c r="BG128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213.84000000000003</v>
      </c>
      <c r="BH128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220.96800000000002</v>
      </c>
      <c r="BI128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213.84000000000003</v>
      </c>
      <c r="BJ128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220.96800000000002</v>
      </c>
      <c r="BK128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220.96800000000002</v>
      </c>
      <c r="BL128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213.84000000000003</v>
      </c>
      <c r="BM128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220.96800000000002</v>
      </c>
      <c r="BN128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213.84000000000003</v>
      </c>
      <c r="BO128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220.96800000000002</v>
      </c>
      <c r="BP1280">
        <f>SUM(Таб[[#This Row],[1]:[12]])</f>
        <v>2601.7200000000003</v>
      </c>
    </row>
    <row r="1281" spans="2:68" ht="38.25">
      <c r="B1281" t="s">
        <v>2715</v>
      </c>
      <c r="C1281" t="str">
        <f>IF(Таб[[#This Row],[Потужність, МВт]]&lt;0.2,"Мікро",IF(Таб[[#This Row],[Потужність, МВт]]&lt;1,"Міні","Мала"))</f>
        <v>Мала</v>
      </c>
      <c r="G1281" s="1" t="s">
        <v>763</v>
      </c>
      <c r="H1281" t="s">
        <v>198</v>
      </c>
      <c r="J1281" s="22">
        <v>1.52</v>
      </c>
      <c r="K1281" s="12"/>
      <c r="L1281" s="12">
        <v>40026</v>
      </c>
      <c r="M1281">
        <v>8</v>
      </c>
      <c r="N1281" s="49" t="s">
        <v>60</v>
      </c>
      <c r="O1281">
        <v>2009</v>
      </c>
      <c r="P1281">
        <v>0.1163</v>
      </c>
      <c r="Q1281" s="10"/>
      <c r="R1281" s="11">
        <f>ROUND(Таб[[#This Row],[Зелений Тариф ЕЦ]]+Таб[[#This Row],[Зелений Тариф ЕЦ]]*Таб[[#This Row],[% надбавки]],4)</f>
        <v>0.1163</v>
      </c>
      <c r="S1281" s="12"/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BD128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373.19040000000007</v>
      </c>
      <c r="BE128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337.07520000000005</v>
      </c>
      <c r="BF128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373.19040000000007</v>
      </c>
      <c r="BG128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361.15200000000004</v>
      </c>
      <c r="BH128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373.19040000000007</v>
      </c>
      <c r="BI128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361.15200000000004</v>
      </c>
      <c r="BJ128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373.19040000000007</v>
      </c>
      <c r="BK128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373.19040000000007</v>
      </c>
      <c r="BL128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361.15200000000004</v>
      </c>
      <c r="BM128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373.19040000000007</v>
      </c>
      <c r="BN128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361.15200000000004</v>
      </c>
      <c r="BO128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373.19040000000007</v>
      </c>
      <c r="BP1281">
        <f>SUM(Таб[[#This Row],[1]:[12]])</f>
        <v>4394.0160000000005</v>
      </c>
    </row>
    <row r="1282" spans="2:68" ht="38.25">
      <c r="B1282" t="s">
        <v>2715</v>
      </c>
      <c r="C1282" t="str">
        <f>IF(Таб[[#This Row],[Потужність, МВт]]&lt;0.2,"Мікро",IF(Таб[[#This Row],[Потужність, МВт]]&lt;1,"Міні","Мала"))</f>
        <v>Міні</v>
      </c>
      <c r="G1282" s="1" t="s">
        <v>763</v>
      </c>
      <c r="H1282" t="s">
        <v>98</v>
      </c>
      <c r="J1282" s="22">
        <v>0.45</v>
      </c>
      <c r="K1282" s="12"/>
      <c r="L1282" s="12">
        <v>40026</v>
      </c>
      <c r="M1282">
        <v>8</v>
      </c>
      <c r="N1282" s="49" t="s">
        <v>60</v>
      </c>
      <c r="O1282">
        <v>2009</v>
      </c>
      <c r="P1282">
        <v>0.1163</v>
      </c>
      <c r="Q1282" s="10"/>
      <c r="R1282" s="11">
        <f>ROUND(Таб[[#This Row],[Зелений Тариф ЕЦ]]+Таб[[#This Row],[Зелений Тариф ЕЦ]]*Таб[[#This Row],[% надбавки]],4)</f>
        <v>0.1163</v>
      </c>
      <c r="S1282" s="12"/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BD128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110.48400000000001</v>
      </c>
      <c r="BE128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99.792000000000002</v>
      </c>
      <c r="BF128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110.48400000000001</v>
      </c>
      <c r="BG128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106.92000000000002</v>
      </c>
      <c r="BH128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110.48400000000001</v>
      </c>
      <c r="BI128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106.92000000000002</v>
      </c>
      <c r="BJ128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110.48400000000001</v>
      </c>
      <c r="BK128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110.48400000000001</v>
      </c>
      <c r="BL128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106.92000000000002</v>
      </c>
      <c r="BM128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110.48400000000001</v>
      </c>
      <c r="BN128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106.92000000000002</v>
      </c>
      <c r="BO128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110.48400000000001</v>
      </c>
      <c r="BP1282">
        <f>SUM(Таб[[#This Row],[1]:[12]])</f>
        <v>1300.8600000000001</v>
      </c>
    </row>
    <row r="1283" spans="2:68" ht="38.25">
      <c r="B1283" t="s">
        <v>2715</v>
      </c>
      <c r="C1283" t="str">
        <f>IF(Таб[[#This Row],[Потужність, МВт]]&lt;0.2,"Мікро",IF(Таб[[#This Row],[Потужність, МВт]]&lt;1,"Міні","Мала"))</f>
        <v>Міні</v>
      </c>
      <c r="G1283" s="1" t="s">
        <v>2984</v>
      </c>
      <c r="H1283" t="s">
        <v>176</v>
      </c>
      <c r="J1283" s="22">
        <v>0.26400000000000001</v>
      </c>
      <c r="K1283" s="12"/>
      <c r="L1283" s="12">
        <v>40634</v>
      </c>
      <c r="M1283">
        <v>4</v>
      </c>
      <c r="N1283" s="49" t="s">
        <v>57</v>
      </c>
      <c r="O1283">
        <v>2011</v>
      </c>
      <c r="P1283">
        <v>0.1163</v>
      </c>
      <c r="Q1283" s="10"/>
      <c r="R1283" s="11">
        <f>ROUND(Таб[[#This Row],[Зелений Тариф ЕЦ]]+Таб[[#This Row],[Зелений Тариф ЕЦ]]*Таб[[#This Row],[% надбавки]],4)</f>
        <v>0.1163</v>
      </c>
      <c r="S1283" s="12"/>
      <c r="T1283">
        <v>5.3999999999999999E-2</v>
      </c>
      <c r="U1283">
        <v>5.2999999999999999E-2</v>
      </c>
      <c r="V1283">
        <v>0.14500000000000002</v>
      </c>
      <c r="W1283">
        <v>0.11599999999999999</v>
      </c>
      <c r="X1283">
        <v>7.2000000000000008E-2</v>
      </c>
      <c r="Y1283">
        <v>1.8000000000000016E-2</v>
      </c>
      <c r="Z1283">
        <v>6.0000000000000053E-3</v>
      </c>
      <c r="AA1283">
        <v>4.9999999999999489E-3</v>
      </c>
      <c r="AB1283">
        <v>3.0000000000000027E-3</v>
      </c>
      <c r="AC1283">
        <v>8.0000000000000071E-3</v>
      </c>
      <c r="AD1283">
        <v>2.200000000000002E-2</v>
      </c>
      <c r="AE1283">
        <v>8.1999999999999962E-2</v>
      </c>
      <c r="AF1283">
        <v>0.10100000000000001</v>
      </c>
      <c r="AG1283">
        <v>9.8000000000000004E-2</v>
      </c>
      <c r="AH1283">
        <v>0.12</v>
      </c>
      <c r="AI1283">
        <v>0.13</v>
      </c>
      <c r="AJ1283">
        <v>3.9E-2</v>
      </c>
      <c r="AK1283">
        <v>1.0999999999999999E-2</v>
      </c>
      <c r="AL1283">
        <v>1.7000000000000001E-2</v>
      </c>
      <c r="AM1283">
        <v>1.0999999999999999E-2</v>
      </c>
      <c r="AN1283">
        <v>8.0000000000000002E-3</v>
      </c>
      <c r="AO1283">
        <v>6.0000000000000001E-3</v>
      </c>
      <c r="AP1283">
        <v>8.0000000000000002E-3</v>
      </c>
      <c r="AQ1283">
        <v>1.6E-2</v>
      </c>
      <c r="AR1283">
        <v>3.5999999999999997E-2</v>
      </c>
      <c r="AS1283">
        <v>7.0999999999999994E-2</v>
      </c>
      <c r="AT1283">
        <v>7.0000000000000007E-2</v>
      </c>
      <c r="AU1283">
        <v>4.1000000000000002E-2</v>
      </c>
      <c r="AV1283">
        <v>0.111</v>
      </c>
      <c r="AW1283">
        <v>3.5000000000000003E-2</v>
      </c>
      <c r="AX1283">
        <v>8.0000000000000002E-3</v>
      </c>
      <c r="AY1283">
        <v>8.0000000000000002E-3</v>
      </c>
      <c r="BD128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64.817279999999997</v>
      </c>
      <c r="BE128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58.544640000000001</v>
      </c>
      <c r="BF128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64.817279999999997</v>
      </c>
      <c r="BG128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62.726399999999998</v>
      </c>
      <c r="BH128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64.817279999999997</v>
      </c>
      <c r="BI128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62.726399999999998</v>
      </c>
      <c r="BJ128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64.817279999999997</v>
      </c>
      <c r="BK128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64.817279999999997</v>
      </c>
      <c r="BL128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62.726399999999998</v>
      </c>
      <c r="BM128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64.817279999999997</v>
      </c>
      <c r="BN128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62.726399999999998</v>
      </c>
      <c r="BO128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64.817279999999997</v>
      </c>
      <c r="BP1283">
        <f>SUM(Таб[[#This Row],[1]:[12]])</f>
        <v>763.17119999999989</v>
      </c>
    </row>
    <row r="1284" spans="2:68" ht="38.25">
      <c r="B1284" t="s">
        <v>2715</v>
      </c>
      <c r="C1284" t="str">
        <f>IF(Таб[[#This Row],[Потужність, МВт]]&lt;0.2,"Мікро",IF(Таб[[#This Row],[Потужність, МВт]]&lt;1,"Міні","Мала"))</f>
        <v>Мікро</v>
      </c>
      <c r="G1284" s="1" t="s">
        <v>2984</v>
      </c>
      <c r="H1284" t="s">
        <v>176</v>
      </c>
      <c r="J1284" s="22">
        <v>0.15</v>
      </c>
      <c r="K1284" s="12"/>
      <c r="L1284" s="12">
        <v>40634</v>
      </c>
      <c r="M1284">
        <v>4</v>
      </c>
      <c r="N1284" s="49" t="s">
        <v>57</v>
      </c>
      <c r="O1284">
        <v>2011</v>
      </c>
      <c r="P1284">
        <v>0.1163</v>
      </c>
      <c r="Q1284" s="10"/>
      <c r="R1284" s="11">
        <f>ROUND(Таб[[#This Row],[Зелений Тариф ЕЦ]]+Таб[[#This Row],[Зелений Тариф ЕЦ]]*Таб[[#This Row],[% надбавки]],4)</f>
        <v>0.1163</v>
      </c>
      <c r="S1284" s="12"/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BD128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36.828000000000003</v>
      </c>
      <c r="BE128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33.264000000000003</v>
      </c>
      <c r="BF128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36.828000000000003</v>
      </c>
      <c r="BG128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35.64</v>
      </c>
      <c r="BH128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36.828000000000003</v>
      </c>
      <c r="BI128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35.64</v>
      </c>
      <c r="BJ128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36.828000000000003</v>
      </c>
      <c r="BK128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36.828000000000003</v>
      </c>
      <c r="BL128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35.64</v>
      </c>
      <c r="BM128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36.828000000000003</v>
      </c>
      <c r="BN128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35.64</v>
      </c>
      <c r="BO128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36.828000000000003</v>
      </c>
      <c r="BP1284">
        <f>SUM(Таб[[#This Row],[1]:[12]])</f>
        <v>433.62</v>
      </c>
    </row>
    <row r="1285" spans="2:68" ht="51">
      <c r="B1285" t="s">
        <v>2715</v>
      </c>
      <c r="C1285" t="str">
        <f>IF(Таб[[#This Row],[Потужність, МВт]]&lt;0.2,"Мікро",IF(Таб[[#This Row],[Потужність, МВт]]&lt;1,"Міні","Мала"))</f>
        <v>Міні</v>
      </c>
      <c r="G1285" s="1" t="s">
        <v>2989</v>
      </c>
      <c r="H1285" t="s">
        <v>1658</v>
      </c>
      <c r="J1285" s="22">
        <v>0.6</v>
      </c>
      <c r="K1285" s="12"/>
      <c r="L1285" s="12">
        <v>43347</v>
      </c>
      <c r="M1285">
        <v>9</v>
      </c>
      <c r="N1285" s="49" t="s">
        <v>60</v>
      </c>
      <c r="O1285">
        <v>2018</v>
      </c>
      <c r="P1285">
        <v>0.1163</v>
      </c>
      <c r="Q1285" s="10"/>
      <c r="R1285" s="11">
        <f>ROUND(Таб[[#This Row],[Зелений Тариф ЕЦ]]+Таб[[#This Row],[Зелений Тариф ЕЦ]]*Таб[[#This Row],[% надбавки]],4)</f>
        <v>0.1163</v>
      </c>
      <c r="S1285" s="12"/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5.5E-2</v>
      </c>
      <c r="AN1285">
        <v>6.0999999999999999E-2</v>
      </c>
      <c r="AO1285">
        <v>0.08</v>
      </c>
      <c r="AP1285">
        <v>8.2000000000000003E-2</v>
      </c>
      <c r="AQ1285">
        <v>9.0999999999999998E-2</v>
      </c>
      <c r="AR1285">
        <v>9.9000000000000005E-2</v>
      </c>
      <c r="AS1285">
        <v>0.26500000000000001</v>
      </c>
      <c r="AT1285">
        <v>0.24099999999999999</v>
      </c>
      <c r="AU1285">
        <v>0.27</v>
      </c>
      <c r="AV1285">
        <v>0.314</v>
      </c>
      <c r="AW1285">
        <v>0.21299999999999999</v>
      </c>
      <c r="AX1285">
        <v>9.5000000000000001E-2</v>
      </c>
      <c r="AY1285">
        <v>7.8E-2</v>
      </c>
      <c r="BD128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147.31200000000001</v>
      </c>
      <c r="BE128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133.05600000000001</v>
      </c>
      <c r="BF128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147.31200000000001</v>
      </c>
      <c r="BG128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142.56</v>
      </c>
      <c r="BH128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147.31200000000001</v>
      </c>
      <c r="BI128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142.56</v>
      </c>
      <c r="BJ128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147.31200000000001</v>
      </c>
      <c r="BK128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147.31200000000001</v>
      </c>
      <c r="BL128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142.56</v>
      </c>
      <c r="BM128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147.31200000000001</v>
      </c>
      <c r="BN128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142.56</v>
      </c>
      <c r="BO128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147.31200000000001</v>
      </c>
      <c r="BP1285">
        <f>SUM(Таб[[#This Row],[1]:[12]])</f>
        <v>1734.48</v>
      </c>
    </row>
    <row r="1286" spans="2:68" ht="51">
      <c r="B1286" t="s">
        <v>2715</v>
      </c>
      <c r="C1286" t="str">
        <f>IF(Таб[[#This Row],[Потужність, МВт]]&lt;0.2,"Мікро",IF(Таб[[#This Row],[Потужність, МВт]]&lt;1,"Міні","Мала"))</f>
        <v>Міні</v>
      </c>
      <c r="G1286" s="1" t="s">
        <v>2989</v>
      </c>
      <c r="H1286" t="s">
        <v>1658</v>
      </c>
      <c r="J1286" s="22">
        <v>0.4</v>
      </c>
      <c r="K1286" s="12"/>
      <c r="L1286" s="12">
        <v>43476</v>
      </c>
      <c r="M1286">
        <v>1</v>
      </c>
      <c r="N1286" s="49" t="s">
        <v>67</v>
      </c>
      <c r="O1286">
        <v>2019</v>
      </c>
      <c r="P1286">
        <v>0.1163</v>
      </c>
      <c r="Q1286" s="10"/>
      <c r="R1286" s="11">
        <f>ROUND(Таб[[#This Row],[Зелений Тариф ЕЦ]]+Таб[[#This Row],[Зелений Тариф ЕЦ]]*Таб[[#This Row],[% надбавки]],4)</f>
        <v>0.1163</v>
      </c>
      <c r="S1286" s="12"/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R1286">
        <v>0.21299999999999999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BD128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98.208000000000013</v>
      </c>
      <c r="BE128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88.704000000000008</v>
      </c>
      <c r="BF128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98.208000000000013</v>
      </c>
      <c r="BG128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95.039999999999992</v>
      </c>
      <c r="BH128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98.208000000000013</v>
      </c>
      <c r="BI128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95.039999999999992</v>
      </c>
      <c r="BJ128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98.208000000000013</v>
      </c>
      <c r="BK128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98.208000000000013</v>
      </c>
      <c r="BL128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95.039999999999992</v>
      </c>
      <c r="BM128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98.208000000000013</v>
      </c>
      <c r="BN128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95.039999999999992</v>
      </c>
      <c r="BO128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98.208000000000013</v>
      </c>
      <c r="BP1286">
        <f>SUM(Таб[[#This Row],[1]:[12]])</f>
        <v>1156.3200000000002</v>
      </c>
    </row>
    <row r="1287" spans="2:68" ht="51">
      <c r="B1287" t="s">
        <v>2715</v>
      </c>
      <c r="C1287" t="str">
        <f>IF(Таб[[#This Row],[Потужність, МВт]]&lt;0.2,"Мікро",IF(Таб[[#This Row],[Потужність, МВт]]&lt;1,"Міні","Мала"))</f>
        <v>Міні</v>
      </c>
      <c r="G1287" s="1" t="s">
        <v>2989</v>
      </c>
      <c r="H1287" t="s">
        <v>1658</v>
      </c>
      <c r="J1287" s="22">
        <v>0.26300000000000001</v>
      </c>
      <c r="K1287" s="12"/>
      <c r="L1287" s="12">
        <v>43476</v>
      </c>
      <c r="M1287">
        <v>1</v>
      </c>
      <c r="N1287" s="49" t="s">
        <v>67</v>
      </c>
      <c r="O1287">
        <v>2019</v>
      </c>
      <c r="P1287">
        <v>0.1163</v>
      </c>
      <c r="Q1287" s="10"/>
      <c r="R1287" s="11">
        <f>ROUND(Таб[[#This Row],[Зелений Тариф ЕЦ]]+Таб[[#This Row],[Зелений Тариф ЕЦ]]*Таб[[#This Row],[% надбавки]],4)</f>
        <v>0.1163</v>
      </c>
      <c r="S1287" s="12"/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BD128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64.571759999999998</v>
      </c>
      <c r="BE128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58.322879999999998</v>
      </c>
      <c r="BF128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64.571759999999998</v>
      </c>
      <c r="BG128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62.488800000000012</v>
      </c>
      <c r="BH128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64.571759999999998</v>
      </c>
      <c r="BI128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62.488800000000012</v>
      </c>
      <c r="BJ128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64.571759999999998</v>
      </c>
      <c r="BK128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64.571759999999998</v>
      </c>
      <c r="BL128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62.488800000000012</v>
      </c>
      <c r="BM128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64.571759999999998</v>
      </c>
      <c r="BN128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62.488800000000012</v>
      </c>
      <c r="BO128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64.571759999999998</v>
      </c>
      <c r="BP1287">
        <f>SUM(Таб[[#This Row],[1]:[12]])</f>
        <v>760.28039999999999</v>
      </c>
    </row>
    <row r="1288" spans="2:68" ht="51">
      <c r="B1288" t="s">
        <v>2715</v>
      </c>
      <c r="C1288" t="str">
        <f>IF(Таб[[#This Row],[Потужність, МВт]]&lt;0.2,"Мікро",IF(Таб[[#This Row],[Потужність, МВт]]&lt;1,"Міні","Мала"))</f>
        <v>Мікро</v>
      </c>
      <c r="G1288" s="1" t="s">
        <v>2989</v>
      </c>
      <c r="H1288" t="s">
        <v>141</v>
      </c>
      <c r="J1288" s="22">
        <v>0.17499999999999999</v>
      </c>
      <c r="K1288" s="12"/>
      <c r="L1288" s="12">
        <v>43476</v>
      </c>
      <c r="M1288">
        <v>1</v>
      </c>
      <c r="N1288" s="49" t="s">
        <v>67</v>
      </c>
      <c r="O1288">
        <v>2019</v>
      </c>
      <c r="P1288">
        <v>0.1163</v>
      </c>
      <c r="Q1288" s="10"/>
      <c r="R1288" s="11">
        <f>ROUND(Таб[[#This Row],[Зелений Тариф ЕЦ]]+Таб[[#This Row],[Зелений Тариф ЕЦ]]*Таб[[#This Row],[% надбавки]],4)</f>
        <v>0.1163</v>
      </c>
      <c r="S1288" s="12"/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R1288">
        <v>5.6000000000000001E-2</v>
      </c>
      <c r="AS1288">
        <v>7.0999999999999994E-2</v>
      </c>
      <c r="AT1288">
        <v>5.8999999999999997E-2</v>
      </c>
      <c r="AU1288">
        <v>7.0000000000000007E-2</v>
      </c>
      <c r="AV1288">
        <v>8.3000000000000004E-2</v>
      </c>
      <c r="AW1288">
        <v>6.7000000000000004E-2</v>
      </c>
      <c r="AX1288">
        <v>4.1000000000000002E-2</v>
      </c>
      <c r="AY1288">
        <v>4.7E-2</v>
      </c>
      <c r="BD128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42.965999999999994</v>
      </c>
      <c r="BE128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38.808</v>
      </c>
      <c r="BF128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42.965999999999994</v>
      </c>
      <c r="BG128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41.58</v>
      </c>
      <c r="BH128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42.965999999999994</v>
      </c>
      <c r="BI128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41.58</v>
      </c>
      <c r="BJ128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42.965999999999994</v>
      </c>
      <c r="BK128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42.965999999999994</v>
      </c>
      <c r="BL128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41.58</v>
      </c>
      <c r="BM128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42.965999999999994</v>
      </c>
      <c r="BN128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41.58</v>
      </c>
      <c r="BO128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42.965999999999994</v>
      </c>
      <c r="BP1288">
        <f>SUM(Таб[[#This Row],[1]:[12]])</f>
        <v>505.89</v>
      </c>
    </row>
    <row r="1289" spans="2:68" ht="63.75">
      <c r="B1289" t="s">
        <v>2715</v>
      </c>
      <c r="C1289" t="str">
        <f>IF(Таб[[#This Row],[Потужність, МВт]]&lt;0.2,"Мікро",IF(Таб[[#This Row],[Потужність, МВт]]&lt;1,"Міні","Мала"))</f>
        <v>Мікро</v>
      </c>
      <c r="G1289" s="1" t="s">
        <v>2998</v>
      </c>
      <c r="H1289" t="s">
        <v>176</v>
      </c>
      <c r="J1289" s="22">
        <v>0.18</v>
      </c>
      <c r="K1289" s="12"/>
      <c r="L1289" s="12">
        <v>40330</v>
      </c>
      <c r="M1289">
        <v>6</v>
      </c>
      <c r="N1289" s="49" t="s">
        <v>57</v>
      </c>
      <c r="O1289">
        <v>2010</v>
      </c>
      <c r="P1289">
        <v>0.1163</v>
      </c>
      <c r="Q1289" s="10"/>
      <c r="R1289" s="11">
        <f>ROUND(Таб[[#This Row],[Зелений Тариф ЕЦ]]+Таб[[#This Row],[Зелений Тариф ЕЦ]]*Таб[[#This Row],[% надбавки]],4)</f>
        <v>0.1163</v>
      </c>
      <c r="S1289" s="12"/>
      <c r="T1289">
        <v>3.0000000000000001E-3</v>
      </c>
      <c r="U1289">
        <v>5.9999999999999993E-3</v>
      </c>
      <c r="V1289">
        <v>4.3999999999999997E-2</v>
      </c>
      <c r="W1289">
        <v>1.2000000000000004E-2</v>
      </c>
      <c r="X1289">
        <v>3.0000000000000027E-3</v>
      </c>
      <c r="Y1289">
        <v>1.0000000000000009E-3</v>
      </c>
      <c r="Z1289">
        <v>1.0000000000000009E-3</v>
      </c>
      <c r="AA1289">
        <v>9.9999999999998701E-4</v>
      </c>
      <c r="AB1289">
        <v>0</v>
      </c>
      <c r="AC1289">
        <v>1.0000000000000009E-3</v>
      </c>
      <c r="AD1289">
        <v>2.0000000000000018E-3</v>
      </c>
      <c r="AE1289">
        <v>8.0000000000000071E-3</v>
      </c>
      <c r="AF1289">
        <v>1.7999999999999999E-2</v>
      </c>
      <c r="AG1289">
        <v>1.2999999999999999E-2</v>
      </c>
      <c r="AH1289">
        <v>2.7E-2</v>
      </c>
      <c r="AI1289">
        <v>3.1E-2</v>
      </c>
      <c r="AJ1289">
        <v>7.0000000000000001E-3</v>
      </c>
      <c r="AK1289">
        <v>2E-3</v>
      </c>
      <c r="AL1289">
        <v>6.0000000000000001E-3</v>
      </c>
      <c r="AM1289">
        <v>4.0000000000000001E-3</v>
      </c>
      <c r="AN1289">
        <v>1E-3</v>
      </c>
      <c r="AO1289">
        <v>2E-3</v>
      </c>
      <c r="AP1289">
        <v>1E-3</v>
      </c>
      <c r="AQ1289">
        <v>4.0000000000000001E-3</v>
      </c>
      <c r="AR1289">
        <v>1.2999999999999999E-2</v>
      </c>
      <c r="AS1289">
        <v>2.1999999999999999E-2</v>
      </c>
      <c r="AT1289">
        <v>1.4999999999999999E-2</v>
      </c>
      <c r="AU1289">
        <v>8.9999999999999993E-3</v>
      </c>
      <c r="AV1289">
        <v>2.1999999999999999E-2</v>
      </c>
      <c r="AW1289">
        <v>1.2999999999999999E-2</v>
      </c>
      <c r="AX1289">
        <v>0</v>
      </c>
      <c r="AY1289">
        <v>2E-3</v>
      </c>
      <c r="BD128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44.193600000000004</v>
      </c>
      <c r="BE128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39.916800000000002</v>
      </c>
      <c r="BF128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44.193600000000004</v>
      </c>
      <c r="BG128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42.768000000000001</v>
      </c>
      <c r="BH128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44.193600000000004</v>
      </c>
      <c r="BI128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42.768000000000001</v>
      </c>
      <c r="BJ128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44.193600000000004</v>
      </c>
      <c r="BK128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44.193600000000004</v>
      </c>
      <c r="BL128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42.768000000000001</v>
      </c>
      <c r="BM128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44.193600000000004</v>
      </c>
      <c r="BN128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42.768000000000001</v>
      </c>
      <c r="BO128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44.193600000000004</v>
      </c>
      <c r="BP1289">
        <f>SUM(Таб[[#This Row],[1]:[12]])</f>
        <v>520.34400000000005</v>
      </c>
    </row>
    <row r="1290" spans="2:68" ht="51">
      <c r="B1290" t="s">
        <v>2715</v>
      </c>
      <c r="C1290" t="str">
        <f>IF(Таб[[#This Row],[Потужність, МВт]]&lt;0.2,"Мікро",IF(Таб[[#This Row],[Потужність, МВт]]&lt;1,"Міні","Мала"))</f>
        <v>Мікро</v>
      </c>
      <c r="G1290" s="1" t="s">
        <v>3001</v>
      </c>
      <c r="H1290" t="s">
        <v>176</v>
      </c>
      <c r="J1290" s="22">
        <v>0.09</v>
      </c>
      <c r="K1290" s="12"/>
      <c r="L1290" s="12">
        <v>41928</v>
      </c>
      <c r="M1290">
        <v>10</v>
      </c>
      <c r="N1290" s="49" t="s">
        <v>71</v>
      </c>
      <c r="O1290">
        <v>2014</v>
      </c>
      <c r="P1290">
        <v>0.19389999999999999</v>
      </c>
      <c r="Q1290" s="10"/>
      <c r="R1290" s="11">
        <f>ROUND(Таб[[#This Row],[Зелений Тариф ЕЦ]]+Таб[[#This Row],[Зелений Тариф ЕЦ]]*Таб[[#This Row],[% надбавки]],4)</f>
        <v>0.19389999999999999</v>
      </c>
      <c r="S1290" s="12"/>
      <c r="T1290">
        <v>0</v>
      </c>
      <c r="U1290">
        <v>0</v>
      </c>
      <c r="V1290">
        <v>0.104</v>
      </c>
      <c r="W1290">
        <v>8.3000000000000004E-2</v>
      </c>
      <c r="X1290">
        <v>6.0000000000000053E-3</v>
      </c>
      <c r="Y1290">
        <v>2.0000000000000018E-3</v>
      </c>
      <c r="Z1290">
        <v>0</v>
      </c>
      <c r="AA1290">
        <v>0</v>
      </c>
      <c r="AB1290">
        <v>5.0000000000000044E-3</v>
      </c>
      <c r="AC1290">
        <v>3.0000000000000027E-3</v>
      </c>
      <c r="AD1290">
        <v>7.9999999999999793E-3</v>
      </c>
      <c r="AE1290">
        <v>1.9000000000000017E-2</v>
      </c>
      <c r="AF1290">
        <v>2.1999999999999999E-2</v>
      </c>
      <c r="AG1290">
        <v>1.4999999999999999E-2</v>
      </c>
      <c r="AH1290">
        <v>3.5000000000000003E-2</v>
      </c>
      <c r="AI1290">
        <v>3.4000000000000002E-2</v>
      </c>
      <c r="AJ1290">
        <v>6.0000000000000001E-3</v>
      </c>
      <c r="AK1290">
        <v>1E-3</v>
      </c>
      <c r="AL1290">
        <v>3.0000000000000001E-3</v>
      </c>
      <c r="AM1290">
        <v>1.6E-2</v>
      </c>
      <c r="AN1290">
        <v>0</v>
      </c>
      <c r="AO1290">
        <v>2E-3</v>
      </c>
      <c r="AP1290">
        <v>1E-3</v>
      </c>
      <c r="AQ1290">
        <v>4.0000000000000001E-3</v>
      </c>
      <c r="AR1290">
        <v>0.01</v>
      </c>
      <c r="AS1290">
        <v>2.5999999999999999E-2</v>
      </c>
      <c r="AT1290">
        <v>0</v>
      </c>
      <c r="AU1290">
        <v>0</v>
      </c>
      <c r="AV1290">
        <v>0</v>
      </c>
      <c r="AW1290">
        <v>0</v>
      </c>
      <c r="AX1290">
        <v>3.0000000000000001E-3</v>
      </c>
      <c r="AY1290">
        <v>3.0000000000000001E-3</v>
      </c>
      <c r="BD129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22.096800000000002</v>
      </c>
      <c r="BE129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19.958400000000001</v>
      </c>
      <c r="BF129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22.096800000000002</v>
      </c>
      <c r="BG129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21.384</v>
      </c>
      <c r="BH129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22.096800000000002</v>
      </c>
      <c r="BI129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21.384</v>
      </c>
      <c r="BJ129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22.096800000000002</v>
      </c>
      <c r="BK129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22.096800000000002</v>
      </c>
      <c r="BL129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21.384</v>
      </c>
      <c r="BM129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22.096800000000002</v>
      </c>
      <c r="BN129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21.384</v>
      </c>
      <c r="BO129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22.096800000000002</v>
      </c>
      <c r="BP1290">
        <f>SUM(Таб[[#This Row],[1]:[12]])</f>
        <v>260.17200000000003</v>
      </c>
    </row>
    <row r="1291" spans="2:68" ht="51">
      <c r="B1291" t="s">
        <v>2715</v>
      </c>
      <c r="C1291" t="str">
        <f>IF(Таб[[#This Row],[Потужність, МВт]]&lt;0.2,"Мікро",IF(Таб[[#This Row],[Потужність, МВт]]&lt;1,"Міні","Мала"))</f>
        <v>Мікро</v>
      </c>
      <c r="G1291" s="1" t="s">
        <v>3001</v>
      </c>
      <c r="H1291" t="s">
        <v>176</v>
      </c>
      <c r="J1291" s="22">
        <v>0.19</v>
      </c>
      <c r="K1291" s="12"/>
      <c r="L1291" s="12">
        <v>42649</v>
      </c>
      <c r="M1291">
        <v>10</v>
      </c>
      <c r="N1291" s="49" t="s">
        <v>71</v>
      </c>
      <c r="O1291">
        <v>2016</v>
      </c>
      <c r="P1291">
        <v>0.17449999999999999</v>
      </c>
      <c r="Q1291" s="10">
        <v>0.05</v>
      </c>
      <c r="R1291" s="11">
        <f>ROUND(Таб[[#This Row],[Зелений Тариф ЕЦ]]+Таб[[#This Row],[Зелений Тариф ЕЦ]]*Таб[[#This Row],[% надбавки]],4)</f>
        <v>0.1832</v>
      </c>
      <c r="S1291" s="12">
        <v>42681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4.3999999999999997E-2</v>
      </c>
      <c r="AG1291">
        <v>5.3999999999999999E-2</v>
      </c>
      <c r="AH1291">
        <v>0.10100000000000001</v>
      </c>
      <c r="AI1291">
        <v>0.11</v>
      </c>
      <c r="AJ1291">
        <v>1.2E-2</v>
      </c>
      <c r="AK1291">
        <v>1E-3</v>
      </c>
      <c r="AL1291">
        <v>2.4E-2</v>
      </c>
      <c r="AM1291">
        <v>0</v>
      </c>
      <c r="AN1291">
        <v>0</v>
      </c>
      <c r="AO1291">
        <v>0</v>
      </c>
      <c r="AP1291">
        <v>0</v>
      </c>
      <c r="AQ1291">
        <v>1.2E-2</v>
      </c>
      <c r="AR1291">
        <v>1.2999999999999999E-2</v>
      </c>
      <c r="AS1291">
        <v>0</v>
      </c>
      <c r="AT1291">
        <v>4.4999999999999998E-2</v>
      </c>
      <c r="AU1291">
        <v>3.4000000000000002E-2</v>
      </c>
      <c r="AV1291">
        <v>0.113</v>
      </c>
      <c r="AW1291">
        <v>9.7000000000000003E-2</v>
      </c>
      <c r="AX1291">
        <v>1E-3</v>
      </c>
      <c r="AY1291">
        <v>0</v>
      </c>
      <c r="BD129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46.648800000000008</v>
      </c>
      <c r="BE129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42.134400000000007</v>
      </c>
      <c r="BF129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46.648800000000008</v>
      </c>
      <c r="BG129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45.144000000000005</v>
      </c>
      <c r="BH129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46.648800000000008</v>
      </c>
      <c r="BI129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45.144000000000005</v>
      </c>
      <c r="BJ129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46.648800000000008</v>
      </c>
      <c r="BK129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46.648800000000008</v>
      </c>
      <c r="BL129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45.144000000000005</v>
      </c>
      <c r="BM129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46.648800000000008</v>
      </c>
      <c r="BN129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45.144000000000005</v>
      </c>
      <c r="BO129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46.648800000000008</v>
      </c>
      <c r="BP1291">
        <f>SUM(Таб[[#This Row],[1]:[12]])</f>
        <v>549.25200000000007</v>
      </c>
    </row>
    <row r="1292" spans="2:68" ht="38.25">
      <c r="B1292" t="s">
        <v>2715</v>
      </c>
      <c r="C1292" t="str">
        <f>IF(Таб[[#This Row],[Потужність, МВт]]&lt;0.2,"Мікро",IF(Таб[[#This Row],[Потужність, МВт]]&lt;1,"Міні","Мала"))</f>
        <v>Мала</v>
      </c>
      <c r="D1292" t="s">
        <v>3356</v>
      </c>
      <c r="F1292" t="s">
        <v>3287</v>
      </c>
      <c r="G1292" s="1" t="s">
        <v>664</v>
      </c>
      <c r="H1292" t="s">
        <v>198</v>
      </c>
      <c r="J1292" s="22">
        <v>7.5</v>
      </c>
      <c r="K1292" s="12"/>
      <c r="L1292" s="12">
        <v>40452</v>
      </c>
      <c r="M1292">
        <v>10</v>
      </c>
      <c r="N1292" s="49" t="s">
        <v>71</v>
      </c>
      <c r="O1292">
        <v>2010</v>
      </c>
      <c r="P1292">
        <v>0.1163</v>
      </c>
      <c r="Q1292" s="10"/>
      <c r="R1292" s="11">
        <f>ROUND(Таб[[#This Row],[Зелений Тариф ЕЦ]]+Таб[[#This Row],[Зелений Тариф ЕЦ]]*Таб[[#This Row],[% надбавки]],4)</f>
        <v>0.1163</v>
      </c>
      <c r="S1292" s="12"/>
      <c r="T1292">
        <v>0.85499999999999998</v>
      </c>
      <c r="U1292">
        <v>1.5950000000000002</v>
      </c>
      <c r="V1292">
        <v>3.7960000000000003</v>
      </c>
      <c r="W1292">
        <v>2.1039999999999992</v>
      </c>
      <c r="X1292">
        <v>0.99900000000000055</v>
      </c>
      <c r="Y1292">
        <v>0.6039999999999992</v>
      </c>
      <c r="Z1292">
        <v>0.54199999999999982</v>
      </c>
      <c r="AA1292">
        <v>0.47300000000000075</v>
      </c>
      <c r="AB1292">
        <v>0.42999999999999972</v>
      </c>
      <c r="AC1292">
        <v>0.5129999999999999</v>
      </c>
      <c r="AD1292">
        <v>0.98200000000000109</v>
      </c>
      <c r="AE1292">
        <v>1.2999999999999989</v>
      </c>
      <c r="AF1292">
        <v>1.181</v>
      </c>
      <c r="AG1292">
        <v>1.0449999999999999</v>
      </c>
      <c r="AH1292">
        <v>2.2749999999999999</v>
      </c>
      <c r="AI1292">
        <v>2.169</v>
      </c>
      <c r="AJ1292">
        <v>0.72499999999999998</v>
      </c>
      <c r="AK1292">
        <v>0.53800000000000003</v>
      </c>
      <c r="AL1292">
        <v>0.622</v>
      </c>
      <c r="AM1292">
        <v>0.72399999999999998</v>
      </c>
      <c r="AN1292">
        <v>0.63200000000000001</v>
      </c>
      <c r="AO1292">
        <v>0.95800000000000007</v>
      </c>
      <c r="AP1292">
        <v>1.0129999999999999</v>
      </c>
      <c r="AQ1292">
        <v>0.98499999999999999</v>
      </c>
      <c r="AR1292">
        <v>1.266</v>
      </c>
      <c r="AS1292">
        <v>1.855</v>
      </c>
      <c r="AT1292">
        <v>1.3280000000000001</v>
      </c>
      <c r="AU1292">
        <v>1.0029999999999999</v>
      </c>
      <c r="AV1292">
        <v>2.4319999999999999</v>
      </c>
      <c r="AW1292">
        <v>2.153</v>
      </c>
      <c r="AX1292">
        <v>0.8</v>
      </c>
      <c r="AY1292">
        <v>0.56200000000000006</v>
      </c>
      <c r="BD129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1841.4</v>
      </c>
      <c r="BE129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1663.1999999999998</v>
      </c>
      <c r="BF129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1841.4</v>
      </c>
      <c r="BG129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1782</v>
      </c>
      <c r="BH129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1841.4</v>
      </c>
      <c r="BI129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1782</v>
      </c>
      <c r="BJ129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1841.4</v>
      </c>
      <c r="BK129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1841.4</v>
      </c>
      <c r="BL129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1782</v>
      </c>
      <c r="BM129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1841.4</v>
      </c>
      <c r="BN129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1782</v>
      </c>
      <c r="BO129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1841.4</v>
      </c>
      <c r="BP1292">
        <f>SUM(Таб[[#This Row],[1]:[12]])</f>
        <v>21681</v>
      </c>
    </row>
    <row r="1293" spans="2:68" ht="38.25">
      <c r="B1293" t="s">
        <v>2715</v>
      </c>
      <c r="C1293" t="str">
        <f>IF(Таб[[#This Row],[Потужність, МВт]]&lt;0.2,"Мікро",IF(Таб[[#This Row],[Потужність, МВт]]&lt;1,"Міні","Мала"))</f>
        <v>Міні</v>
      </c>
      <c r="G1293" s="1" t="s">
        <v>3008</v>
      </c>
      <c r="H1293" t="s">
        <v>233</v>
      </c>
      <c r="J1293" s="22">
        <v>0.999</v>
      </c>
      <c r="K1293" s="12"/>
      <c r="L1293" s="12">
        <v>41944</v>
      </c>
      <c r="M1293">
        <v>11</v>
      </c>
      <c r="N1293" s="49" t="s">
        <v>71</v>
      </c>
      <c r="O1293">
        <v>2014</v>
      </c>
      <c r="P1293">
        <v>0.15509999999999999</v>
      </c>
      <c r="Q1293" s="10"/>
      <c r="R1293" s="11">
        <f>ROUND(Таб[[#This Row],[Зелений Тариф ЕЦ]]+Таб[[#This Row],[Зелений Тариф ЕЦ]]*Таб[[#This Row],[% надбавки]],4)</f>
        <v>0.15509999999999999</v>
      </c>
      <c r="S1293" s="12"/>
      <c r="T1293">
        <v>0.16500000000000001</v>
      </c>
      <c r="U1293">
        <v>0.35</v>
      </c>
      <c r="V1293">
        <v>0.69499999999999995</v>
      </c>
      <c r="W1293">
        <v>0.66999999999999993</v>
      </c>
      <c r="X1293">
        <v>0.64900000000000002</v>
      </c>
      <c r="Y1293">
        <v>0.34200000000000008</v>
      </c>
      <c r="Z1293">
        <v>0.47500000000000009</v>
      </c>
      <c r="AA1293">
        <v>0.18799999999999972</v>
      </c>
      <c r="AB1293">
        <v>0.22500000000000009</v>
      </c>
      <c r="AC1293">
        <v>0.28299999999999992</v>
      </c>
      <c r="AD1293">
        <v>0.64900000000000002</v>
      </c>
      <c r="AE1293">
        <v>0.62100000000000044</v>
      </c>
      <c r="AF1293">
        <v>0.55800000000000005</v>
      </c>
      <c r="AG1293">
        <v>0.29899999999999999</v>
      </c>
      <c r="AH1293">
        <v>0.47399999999999998</v>
      </c>
      <c r="AI1293">
        <v>0.71299999999999997</v>
      </c>
      <c r="AJ1293">
        <v>0.56200000000000006</v>
      </c>
      <c r="AK1293">
        <v>0.26600000000000001</v>
      </c>
      <c r="AL1293">
        <v>0.14899999999999999</v>
      </c>
      <c r="AM1293">
        <v>6.3E-2</v>
      </c>
      <c r="AN1293">
        <v>0.01</v>
      </c>
      <c r="AO1293">
        <v>6.4000000000000001E-2</v>
      </c>
      <c r="AP1293">
        <v>0.16200000000000001</v>
      </c>
      <c r="AQ1293">
        <v>0.161</v>
      </c>
      <c r="AR1293">
        <v>0.11600000000000001</v>
      </c>
      <c r="AS1293">
        <v>0.16300000000000001</v>
      </c>
      <c r="AT1293">
        <v>0.53300000000000003</v>
      </c>
      <c r="AU1293">
        <v>0.70599999999999996</v>
      </c>
      <c r="AV1293">
        <v>0.67600000000000005</v>
      </c>
      <c r="AW1293">
        <v>0.44800000000000001</v>
      </c>
      <c r="AX1293">
        <v>0.20499999999999999</v>
      </c>
      <c r="AY1293">
        <v>0.20699999999999999</v>
      </c>
      <c r="BD129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245.27448000000001</v>
      </c>
      <c r="BE129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221.53824</v>
      </c>
      <c r="BF129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245.27448000000001</v>
      </c>
      <c r="BG129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237.36240000000001</v>
      </c>
      <c r="BH129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245.27448000000001</v>
      </c>
      <c r="BI129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237.36240000000001</v>
      </c>
      <c r="BJ129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245.27448000000001</v>
      </c>
      <c r="BK129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245.27448000000001</v>
      </c>
      <c r="BL129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237.36240000000001</v>
      </c>
      <c r="BM129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245.27448000000001</v>
      </c>
      <c r="BN129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237.36240000000001</v>
      </c>
      <c r="BO129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245.27448000000001</v>
      </c>
      <c r="BP1293">
        <f>SUM(Таб[[#This Row],[1]:[12]])</f>
        <v>2887.9092000000001</v>
      </c>
    </row>
    <row r="1294" spans="2:68" ht="38.25">
      <c r="B1294" t="s">
        <v>2715</v>
      </c>
      <c r="C1294" t="str">
        <f>IF(Таб[[#This Row],[Потужність, МВт]]&lt;0.2,"Мікро",IF(Таб[[#This Row],[Потужність, МВт]]&lt;1,"Міні","Мала"))</f>
        <v>Мала</v>
      </c>
      <c r="G1294" s="1" t="s">
        <v>3011</v>
      </c>
      <c r="H1294" t="s">
        <v>233</v>
      </c>
      <c r="J1294" s="22">
        <v>1.014</v>
      </c>
      <c r="K1294" s="12"/>
      <c r="L1294" s="12">
        <v>41030</v>
      </c>
      <c r="M1294">
        <v>5</v>
      </c>
      <c r="N1294" s="49" t="s">
        <v>57</v>
      </c>
      <c r="O1294">
        <v>2012</v>
      </c>
      <c r="P1294">
        <v>0.1163</v>
      </c>
      <c r="Q1294" s="10"/>
      <c r="R1294" s="11">
        <f>ROUND(Таб[[#This Row],[Зелений Тариф ЕЦ]]+Таб[[#This Row],[Зелений Тариф ЕЦ]]*Таб[[#This Row],[% надбавки]],4)</f>
        <v>0.1163</v>
      </c>
      <c r="S1294" s="12"/>
      <c r="T1294">
        <v>5.8999999999999997E-2</v>
      </c>
      <c r="U1294">
        <v>0.32300000000000001</v>
      </c>
      <c r="V1294">
        <v>0.63200000000000001</v>
      </c>
      <c r="W1294">
        <v>0.51400000000000001</v>
      </c>
      <c r="X1294">
        <v>0.39500000000000002</v>
      </c>
      <c r="Y1294">
        <v>0.14800000000000013</v>
      </c>
      <c r="Z1294">
        <v>0.22799999999999976</v>
      </c>
      <c r="AA1294">
        <v>2.3000000000000131E-2</v>
      </c>
      <c r="AB1294">
        <v>6.6999999999999726E-2</v>
      </c>
      <c r="AC1294">
        <v>0.1120000000000001</v>
      </c>
      <c r="AD1294">
        <v>0.49500000000000011</v>
      </c>
      <c r="AE1294">
        <v>0.49500000000000011</v>
      </c>
      <c r="AF1294">
        <v>0.40699999999999997</v>
      </c>
      <c r="AG1294">
        <v>0.19400000000000001</v>
      </c>
      <c r="AH1294">
        <v>0.35199999999999998</v>
      </c>
      <c r="AI1294">
        <v>0.63500000000000001</v>
      </c>
      <c r="AJ1294">
        <v>0.312</v>
      </c>
      <c r="AK1294">
        <v>0.111</v>
      </c>
      <c r="AL1294">
        <v>1.7999999999999999E-2</v>
      </c>
      <c r="AM1294">
        <v>1E-3</v>
      </c>
      <c r="AN1294">
        <v>2E-3</v>
      </c>
      <c r="AO1294">
        <v>1.4999999999999999E-2</v>
      </c>
      <c r="AP1294">
        <v>1.7000000000000001E-2</v>
      </c>
      <c r="AQ1294">
        <v>3.5000000000000003E-2</v>
      </c>
      <c r="AR1294">
        <v>4.0000000000000001E-3</v>
      </c>
      <c r="AS1294">
        <v>0.113</v>
      </c>
      <c r="AT1294">
        <v>0.44800000000000001</v>
      </c>
      <c r="AU1294">
        <v>0.56100000000000005</v>
      </c>
      <c r="AV1294">
        <v>0.44600000000000001</v>
      </c>
      <c r="AW1294">
        <v>0.19800000000000001</v>
      </c>
      <c r="AX1294">
        <v>7.4999999999999997E-2</v>
      </c>
      <c r="AY1294">
        <v>6.5000000000000002E-2</v>
      </c>
      <c r="BD129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248.95728000000003</v>
      </c>
      <c r="BE129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224.86464000000001</v>
      </c>
      <c r="BF129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248.95728000000003</v>
      </c>
      <c r="BG129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240.9264</v>
      </c>
      <c r="BH129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248.95728000000003</v>
      </c>
      <c r="BI129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240.9264</v>
      </c>
      <c r="BJ129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248.95728000000003</v>
      </c>
      <c r="BK129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248.95728000000003</v>
      </c>
      <c r="BL129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240.9264</v>
      </c>
      <c r="BM129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248.95728000000003</v>
      </c>
      <c r="BN129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240.9264</v>
      </c>
      <c r="BO129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248.95728000000003</v>
      </c>
      <c r="BP1294">
        <f>SUM(Таб[[#This Row],[1]:[12]])</f>
        <v>2931.2712000000001</v>
      </c>
    </row>
    <row r="1295" spans="2:68" ht="51">
      <c r="B1295" t="s">
        <v>2715</v>
      </c>
      <c r="C1295" t="str">
        <f>IF(Таб[[#This Row],[Потужність, МВт]]&lt;0.2,"Мікро",IF(Таб[[#This Row],[Потужність, МВт]]&lt;1,"Міні","Мала"))</f>
        <v>Міні</v>
      </c>
      <c r="G1295" s="1" t="s">
        <v>3014</v>
      </c>
      <c r="H1295" t="s">
        <v>136</v>
      </c>
      <c r="J1295" s="22">
        <v>0.33</v>
      </c>
      <c r="K1295" s="12"/>
      <c r="L1295" s="12">
        <v>40634</v>
      </c>
      <c r="M1295">
        <v>4</v>
      </c>
      <c r="N1295" s="49" t="s">
        <v>57</v>
      </c>
      <c r="O1295">
        <v>2011</v>
      </c>
      <c r="P1295">
        <v>0.1163</v>
      </c>
      <c r="Q1295" s="10"/>
      <c r="R1295" s="11">
        <f>ROUND(Таб[[#This Row],[Зелений Тариф ЕЦ]]+Таб[[#This Row],[Зелений Тариф ЕЦ]]*Таб[[#This Row],[% надбавки]],4)</f>
        <v>0.1163</v>
      </c>
      <c r="S1295" s="12"/>
      <c r="T1295">
        <v>0</v>
      </c>
      <c r="U1295">
        <v>5.5E-2</v>
      </c>
      <c r="V1295">
        <v>0.22100000000000003</v>
      </c>
      <c r="W1295">
        <v>0.16199999999999998</v>
      </c>
      <c r="X1295">
        <v>1.2000000000000011E-2</v>
      </c>
      <c r="Y1295">
        <v>0</v>
      </c>
      <c r="Z1295">
        <v>0</v>
      </c>
      <c r="AA1295">
        <v>0</v>
      </c>
      <c r="AB1295">
        <v>0</v>
      </c>
      <c r="AC1295">
        <v>1.0000000000000009E-3</v>
      </c>
      <c r="AD1295">
        <v>9.1000000000000025E-2</v>
      </c>
      <c r="AE1295">
        <v>6.6999999999999948E-2</v>
      </c>
      <c r="AF1295">
        <v>6.6000000000000003E-2</v>
      </c>
      <c r="AG1295">
        <v>8.4000000000000005E-2</v>
      </c>
      <c r="AH1295">
        <v>0.16800000000000001</v>
      </c>
      <c r="AI1295">
        <v>0.18099999999999999</v>
      </c>
      <c r="AJ1295">
        <v>6.4000000000000001E-2</v>
      </c>
      <c r="AK1295">
        <v>9.8000000000000004E-2</v>
      </c>
      <c r="AL1295">
        <v>0.21299999999999999</v>
      </c>
      <c r="AM1295">
        <v>6.5000000000000002E-2</v>
      </c>
      <c r="AN1295">
        <v>1.7000000000000001E-2</v>
      </c>
      <c r="AO1295">
        <v>0.105</v>
      </c>
      <c r="AP1295">
        <v>0.13</v>
      </c>
      <c r="AQ1295">
        <v>8.3000000000000004E-2</v>
      </c>
      <c r="AR1295">
        <v>0.11</v>
      </c>
      <c r="AS1295">
        <v>0.17699999999999999</v>
      </c>
      <c r="AT1295">
        <v>5.5E-2</v>
      </c>
      <c r="AU1295">
        <v>7.0000000000000001E-3</v>
      </c>
      <c r="AV1295">
        <v>0.16300000000000001</v>
      </c>
      <c r="AW1295">
        <v>0.17199999999999999</v>
      </c>
      <c r="AX1295">
        <v>1.4999999999999999E-2</v>
      </c>
      <c r="AY1295">
        <v>2E-3</v>
      </c>
      <c r="BD129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81.021600000000007</v>
      </c>
      <c r="BE129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73.180800000000005</v>
      </c>
      <c r="BF129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81.021600000000007</v>
      </c>
      <c r="BG129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78.408000000000015</v>
      </c>
      <c r="BH129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81.021600000000007</v>
      </c>
      <c r="BI129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78.408000000000015</v>
      </c>
      <c r="BJ129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81.021600000000007</v>
      </c>
      <c r="BK129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81.021600000000007</v>
      </c>
      <c r="BL129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78.408000000000015</v>
      </c>
      <c r="BM129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81.021600000000007</v>
      </c>
      <c r="BN129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78.408000000000015</v>
      </c>
      <c r="BO129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81.021600000000007</v>
      </c>
      <c r="BP1295">
        <f>SUM(Таб[[#This Row],[1]:[12]])</f>
        <v>953.96400000000028</v>
      </c>
    </row>
    <row r="1296" spans="2:68" ht="51">
      <c r="B1296" t="s">
        <v>2715</v>
      </c>
      <c r="C1296" t="str">
        <f>IF(Таб[[#This Row],[Потужність, МВт]]&lt;0.2,"Мікро",IF(Таб[[#This Row],[Потужність, МВт]]&lt;1,"Міні","Мала"))</f>
        <v>Міні</v>
      </c>
      <c r="G1296" s="1" t="s">
        <v>3014</v>
      </c>
      <c r="H1296" t="s">
        <v>101</v>
      </c>
      <c r="J1296" s="22">
        <v>0.9</v>
      </c>
      <c r="K1296" s="12"/>
      <c r="L1296" s="12">
        <v>41746</v>
      </c>
      <c r="M1296">
        <v>4</v>
      </c>
      <c r="N1296" s="49" t="s">
        <v>57</v>
      </c>
      <c r="O1296">
        <v>2014</v>
      </c>
      <c r="P1296">
        <v>0.15509999999999999</v>
      </c>
      <c r="Q1296" s="10"/>
      <c r="R1296" s="11">
        <f>ROUND(Таб[[#This Row],[Зелений Тариф ЕЦ]]+Таб[[#This Row],[Зелений Тариф ЕЦ]]*Таб[[#This Row],[% надбавки]],4)</f>
        <v>0.15509999999999999</v>
      </c>
      <c r="S1296" s="12"/>
      <c r="T1296">
        <v>0.23</v>
      </c>
      <c r="U1296">
        <v>0.26300000000000001</v>
      </c>
      <c r="V1296">
        <v>0.47799999999999998</v>
      </c>
      <c r="W1296">
        <v>0.33300000000000007</v>
      </c>
      <c r="X1296">
        <v>0.20399999999999996</v>
      </c>
      <c r="Y1296">
        <v>0.13700000000000001</v>
      </c>
      <c r="Z1296">
        <v>0.10999999999999988</v>
      </c>
      <c r="AA1296">
        <v>0.1010000000000002</v>
      </c>
      <c r="AB1296">
        <v>0.13300000000000001</v>
      </c>
      <c r="AC1296">
        <v>0.16899999999999982</v>
      </c>
      <c r="AD1296">
        <v>0.20000000000000018</v>
      </c>
      <c r="AE1296">
        <v>0.29699999999999971</v>
      </c>
      <c r="AF1296">
        <v>0.28100000000000003</v>
      </c>
      <c r="AG1296">
        <v>0.21099999999999999</v>
      </c>
      <c r="AH1296">
        <v>0.375</v>
      </c>
      <c r="AI1296">
        <v>0.34799999999999998</v>
      </c>
      <c r="AJ1296">
        <v>8.6999999999999994E-2</v>
      </c>
      <c r="AK1296">
        <v>2.7E-2</v>
      </c>
      <c r="AL1296">
        <v>0</v>
      </c>
      <c r="AM1296">
        <v>7.2999999999999995E-2</v>
      </c>
      <c r="AN1296">
        <v>0.14799999999999999</v>
      </c>
      <c r="AO1296">
        <v>0.22700000000000001</v>
      </c>
      <c r="AP1296">
        <v>0.221</v>
      </c>
      <c r="AQ1296">
        <v>0.217</v>
      </c>
      <c r="AR1296">
        <v>0.25600000000000001</v>
      </c>
      <c r="AS1296">
        <v>0.34399999999999997</v>
      </c>
      <c r="AT1296">
        <v>0.29199999999999998</v>
      </c>
      <c r="AU1296">
        <v>0.22500000000000001</v>
      </c>
      <c r="AV1296">
        <v>0.39600000000000002</v>
      </c>
      <c r="AW1296">
        <v>0.311</v>
      </c>
      <c r="AX1296">
        <v>0.14199999999999999</v>
      </c>
      <c r="AY1296">
        <v>0.107</v>
      </c>
      <c r="BD129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220.96800000000002</v>
      </c>
      <c r="BE129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199.584</v>
      </c>
      <c r="BF129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220.96800000000002</v>
      </c>
      <c r="BG129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213.84000000000003</v>
      </c>
      <c r="BH129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220.96800000000002</v>
      </c>
      <c r="BI129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213.84000000000003</v>
      </c>
      <c r="BJ129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220.96800000000002</v>
      </c>
      <c r="BK129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220.96800000000002</v>
      </c>
      <c r="BL129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213.84000000000003</v>
      </c>
      <c r="BM129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220.96800000000002</v>
      </c>
      <c r="BN129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213.84000000000003</v>
      </c>
      <c r="BO129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220.96800000000002</v>
      </c>
      <c r="BP1296">
        <f>SUM(Таб[[#This Row],[1]:[12]])</f>
        <v>2601.7200000000003</v>
      </c>
    </row>
    <row r="1297" spans="2:68" ht="38.25">
      <c r="B1297" t="s">
        <v>2715</v>
      </c>
      <c r="C1297" t="str">
        <f>IF(Таб[[#This Row],[Потужність, МВт]]&lt;0.2,"Мікро",IF(Таб[[#This Row],[Потужність, МВт]]&lt;1,"Міні","Мала"))</f>
        <v>Мікро</v>
      </c>
      <c r="G1297" s="1" t="s">
        <v>3019</v>
      </c>
      <c r="H1297" t="s">
        <v>172</v>
      </c>
      <c r="J1297" s="22">
        <v>7.4999999999999997E-2</v>
      </c>
      <c r="K1297" s="12"/>
      <c r="L1297" s="12">
        <v>42367</v>
      </c>
      <c r="M1297">
        <v>29</v>
      </c>
      <c r="N1297" s="49" t="s">
        <v>71</v>
      </c>
      <c r="O1297">
        <v>2015</v>
      </c>
      <c r="P1297">
        <v>0.17449999999999999</v>
      </c>
      <c r="Q1297" s="10"/>
      <c r="R1297" s="11">
        <f>ROUND(Таб[[#This Row],[Зелений Тариф ЕЦ]]+Таб[[#This Row],[Зелений Тариф ЕЦ]]*Таб[[#This Row],[% надбавки]],4)</f>
        <v>0.17449999999999999</v>
      </c>
      <c r="S1297" s="12"/>
      <c r="T1297">
        <v>1.7000000000000001E-2</v>
      </c>
      <c r="U1297">
        <v>1.7000000000000001E-2</v>
      </c>
      <c r="V1297">
        <v>3.2000000000000001E-2</v>
      </c>
      <c r="W1297">
        <v>1.3999999999999999E-2</v>
      </c>
      <c r="X1297">
        <v>1.1999999999999997E-2</v>
      </c>
      <c r="Y1297">
        <v>7.0000000000000062E-3</v>
      </c>
      <c r="Z1297">
        <v>3.9999999999999897E-3</v>
      </c>
      <c r="AA1297">
        <v>5.0000000000000044E-3</v>
      </c>
      <c r="AB1297">
        <v>1.0999999999999996E-2</v>
      </c>
      <c r="AC1297">
        <v>2.1999999999999992E-2</v>
      </c>
      <c r="AD1297">
        <v>1.8000000000000016E-2</v>
      </c>
      <c r="AE1297">
        <v>1.6999999999999987E-2</v>
      </c>
      <c r="AF1297">
        <v>1.4999999999999999E-2</v>
      </c>
      <c r="AG1297">
        <v>1.4999999999999999E-2</v>
      </c>
      <c r="AH1297">
        <v>2.8000000000000001E-2</v>
      </c>
      <c r="AI1297">
        <v>2.3E-2</v>
      </c>
      <c r="AJ1297">
        <v>8.9999999999999993E-3</v>
      </c>
      <c r="AK1297">
        <v>7.0000000000000001E-3</v>
      </c>
      <c r="AL1297">
        <v>2E-3</v>
      </c>
      <c r="AM1297">
        <v>5.0000000000000001E-3</v>
      </c>
      <c r="AN1297">
        <v>5.0000000000000001E-3</v>
      </c>
      <c r="AO1297">
        <v>1.2E-2</v>
      </c>
      <c r="AP1297">
        <v>8.9999999999999993E-3</v>
      </c>
      <c r="AQ1297">
        <v>1.0999999999999999E-2</v>
      </c>
      <c r="AR1297">
        <v>1.6E-2</v>
      </c>
      <c r="AS1297">
        <v>2.1999999999999999E-2</v>
      </c>
      <c r="AT1297">
        <v>2.4E-2</v>
      </c>
      <c r="AU1297">
        <v>1.2999999999999999E-2</v>
      </c>
      <c r="AV1297">
        <v>3.1E-2</v>
      </c>
      <c r="AW1297">
        <v>2.4E-2</v>
      </c>
      <c r="AX1297">
        <v>0.01</v>
      </c>
      <c r="AY1297">
        <v>8.9999999999999993E-3</v>
      </c>
      <c r="BD129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18.414000000000001</v>
      </c>
      <c r="BE129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16.632000000000001</v>
      </c>
      <c r="BF129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18.414000000000001</v>
      </c>
      <c r="BG129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17.82</v>
      </c>
      <c r="BH129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18.414000000000001</v>
      </c>
      <c r="BI129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17.82</v>
      </c>
      <c r="BJ129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18.414000000000001</v>
      </c>
      <c r="BK129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18.414000000000001</v>
      </c>
      <c r="BL129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17.82</v>
      </c>
      <c r="BM129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18.414000000000001</v>
      </c>
      <c r="BN129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17.82</v>
      </c>
      <c r="BO129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18.414000000000001</v>
      </c>
      <c r="BP1297">
        <f>SUM(Таб[[#This Row],[1]:[12]])</f>
        <v>216.81</v>
      </c>
    </row>
    <row r="1298" spans="2:68" ht="38.25">
      <c r="B1298" t="s">
        <v>2715</v>
      </c>
      <c r="C1298" t="str">
        <f>IF(Таб[[#This Row],[Потужність, МВт]]&lt;0.2,"Мікро",IF(Таб[[#This Row],[Потужність, МВт]]&lt;1,"Міні","Мала"))</f>
        <v>Мікро</v>
      </c>
      <c r="G1298" s="1" t="s">
        <v>3022</v>
      </c>
      <c r="H1298" t="s">
        <v>176</v>
      </c>
      <c r="J1298" s="22">
        <v>0.15</v>
      </c>
      <c r="K1298" s="12"/>
      <c r="L1298" s="12">
        <v>41711</v>
      </c>
      <c r="M1298">
        <v>3</v>
      </c>
      <c r="N1298" s="49" t="s">
        <v>67</v>
      </c>
      <c r="O1298">
        <v>2014</v>
      </c>
      <c r="P1298">
        <v>0.19389999999999999</v>
      </c>
      <c r="Q1298" s="10"/>
      <c r="R1298" s="11">
        <f>ROUND(Таб[[#This Row],[Зелений Тариф ЕЦ]]+Таб[[#This Row],[Зелений Тариф ЕЦ]]*Таб[[#This Row],[% надбавки]],4)</f>
        <v>0.19389999999999999</v>
      </c>
      <c r="S1298" s="12"/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BD129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36.828000000000003</v>
      </c>
      <c r="BE129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33.264000000000003</v>
      </c>
      <c r="BF129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36.828000000000003</v>
      </c>
      <c r="BG129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35.64</v>
      </c>
      <c r="BH129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36.828000000000003</v>
      </c>
      <c r="BI129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35.64</v>
      </c>
      <c r="BJ129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36.828000000000003</v>
      </c>
      <c r="BK129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36.828000000000003</v>
      </c>
      <c r="BL129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35.64</v>
      </c>
      <c r="BM129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36.828000000000003</v>
      </c>
      <c r="BN129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35.64</v>
      </c>
      <c r="BO129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36.828000000000003</v>
      </c>
      <c r="BP1298">
        <f>SUM(Таб[[#This Row],[1]:[12]])</f>
        <v>433.62</v>
      </c>
    </row>
    <row r="1299" spans="2:68" ht="25.5">
      <c r="B1299" t="s">
        <v>2715</v>
      </c>
      <c r="C1299" t="str">
        <f>IF(Таб[[#This Row],[Потужність, МВт]]&lt;0.2,"Мікро",IF(Таб[[#This Row],[Потужність, МВт]]&lt;1,"Міні","Мала"))</f>
        <v>Мікро</v>
      </c>
      <c r="G1299" s="1" t="s">
        <v>3025</v>
      </c>
      <c r="H1299" t="s">
        <v>62</v>
      </c>
      <c r="J1299" s="22">
        <v>0.125</v>
      </c>
      <c r="K1299" s="12"/>
      <c r="L1299" s="12">
        <v>40640</v>
      </c>
      <c r="M1299">
        <v>4</v>
      </c>
      <c r="N1299" s="49" t="s">
        <v>57</v>
      </c>
      <c r="O1299">
        <v>2011</v>
      </c>
      <c r="P1299">
        <v>0.1163</v>
      </c>
      <c r="Q1299" s="10"/>
      <c r="R1299" s="11">
        <f>ROUND(Таб[[#This Row],[Зелений Тариф ЕЦ]]+Таб[[#This Row],[Зелений Тариф ЕЦ]]*Таб[[#This Row],[% надбавки]],4)</f>
        <v>0.1163</v>
      </c>
      <c r="S1299" s="12"/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BD129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30.69</v>
      </c>
      <c r="BE129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27.72</v>
      </c>
      <c r="BF129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30.69</v>
      </c>
      <c r="BG129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29.700000000000003</v>
      </c>
      <c r="BH129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30.69</v>
      </c>
      <c r="BI129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29.700000000000003</v>
      </c>
      <c r="BJ129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30.69</v>
      </c>
      <c r="BK129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30.69</v>
      </c>
      <c r="BL129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29.700000000000003</v>
      </c>
      <c r="BM129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30.69</v>
      </c>
      <c r="BN129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29.700000000000003</v>
      </c>
      <c r="BO129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30.69</v>
      </c>
      <c r="BP1299">
        <f>SUM(Таб[[#This Row],[1]:[12]])</f>
        <v>361.34999999999997</v>
      </c>
    </row>
    <row r="1300" spans="2:68" ht="25.5">
      <c r="B1300" t="s">
        <v>2715</v>
      </c>
      <c r="C1300" t="str">
        <f>IF(Таб[[#This Row],[Потужність, МВт]]&lt;0.2,"Мікро",IF(Таб[[#This Row],[Потужність, МВт]]&lt;1,"Міні","Мала"))</f>
        <v>Мікро</v>
      </c>
      <c r="G1300" s="1" t="s">
        <v>3028</v>
      </c>
      <c r="H1300" t="s">
        <v>62</v>
      </c>
      <c r="J1300" s="22">
        <v>0.09</v>
      </c>
      <c r="K1300" s="12"/>
      <c r="L1300" s="12">
        <v>42495</v>
      </c>
      <c r="M1300">
        <v>5</v>
      </c>
      <c r="N1300" s="49" t="s">
        <v>57</v>
      </c>
      <c r="O1300">
        <v>2016</v>
      </c>
      <c r="P1300">
        <v>0.17449999999999999</v>
      </c>
      <c r="Q1300" s="10"/>
      <c r="R1300" s="11">
        <f>ROUND(Таб[[#This Row],[Зелений Тариф ЕЦ]]+Таб[[#This Row],[Зелений Тариф ЕЦ]]*Таб[[#This Row],[% надбавки]],4)</f>
        <v>0.17449999999999999</v>
      </c>
      <c r="S1300" s="12"/>
      <c r="T1300">
        <v>1.7000000000000001E-2</v>
      </c>
      <c r="U1300">
        <v>2.5000000000000001E-2</v>
      </c>
      <c r="V1300">
        <v>3.6999999999999998E-2</v>
      </c>
      <c r="W1300">
        <v>2.8999999999999998E-2</v>
      </c>
      <c r="X1300">
        <v>2.8000000000000011E-2</v>
      </c>
      <c r="Y1300">
        <v>2.1999999999999992E-2</v>
      </c>
      <c r="Z1300">
        <v>1.8999999999999989E-2</v>
      </c>
      <c r="AA1300">
        <v>1.7000000000000015E-2</v>
      </c>
      <c r="AB1300">
        <v>2.4999999999999994E-2</v>
      </c>
      <c r="AC1300">
        <v>2.4999999999999994E-2</v>
      </c>
      <c r="AD1300">
        <v>2.200000000000002E-2</v>
      </c>
      <c r="AE1300">
        <v>3.2999999999999974E-2</v>
      </c>
      <c r="AF1300">
        <v>3.3000000000000002E-2</v>
      </c>
      <c r="AG1300">
        <v>2.5999999999999999E-2</v>
      </c>
      <c r="AH1300">
        <v>3.6999999999999998E-2</v>
      </c>
      <c r="AI1300">
        <v>4.2000000000000003E-2</v>
      </c>
      <c r="AJ1300">
        <v>3.5000000000000003E-2</v>
      </c>
      <c r="AK1300">
        <v>2.8000000000000001E-2</v>
      </c>
      <c r="AL1300">
        <v>3.1E-2</v>
      </c>
      <c r="AM1300">
        <v>3.3000000000000002E-2</v>
      </c>
      <c r="AN1300">
        <v>0.03</v>
      </c>
      <c r="AO1300">
        <v>2.7E-2</v>
      </c>
      <c r="AP1300">
        <v>2.1999999999999999E-2</v>
      </c>
      <c r="AQ1300">
        <v>2.7E-2</v>
      </c>
      <c r="AR1300">
        <v>3.6999999999999998E-2</v>
      </c>
      <c r="AS1300">
        <v>0.03</v>
      </c>
      <c r="AT1300">
        <v>2.7E-2</v>
      </c>
      <c r="AU1300">
        <v>2.9000000000000001E-2</v>
      </c>
      <c r="AV1300">
        <v>4.3999999999999997E-2</v>
      </c>
      <c r="AW1300">
        <v>3.7999999999999999E-2</v>
      </c>
      <c r="AX1300">
        <v>1.7999999999999999E-2</v>
      </c>
      <c r="AY1300">
        <v>2.7E-2</v>
      </c>
      <c r="BD130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22.096800000000002</v>
      </c>
      <c r="BE130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19.958400000000001</v>
      </c>
      <c r="BF130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22.096800000000002</v>
      </c>
      <c r="BG130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21.384</v>
      </c>
      <c r="BH130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22.096800000000002</v>
      </c>
      <c r="BI130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21.384</v>
      </c>
      <c r="BJ130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22.096800000000002</v>
      </c>
      <c r="BK130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22.096800000000002</v>
      </c>
      <c r="BL130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21.384</v>
      </c>
      <c r="BM130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22.096800000000002</v>
      </c>
      <c r="BN130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21.384</v>
      </c>
      <c r="BO130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22.096800000000002</v>
      </c>
      <c r="BP1300">
        <f>SUM(Таб[[#This Row],[1]:[12]])</f>
        <v>260.17200000000003</v>
      </c>
    </row>
    <row r="1301" spans="2:68">
      <c r="B1301" t="s">
        <v>2715</v>
      </c>
      <c r="C1301" t="str">
        <f>IF(Таб[[#This Row],[Потужність, МВт]]&lt;0.2,"Мікро",IF(Таб[[#This Row],[Потужність, МВт]]&lt;1,"Міні","Мала"))</f>
        <v>Міні</v>
      </c>
      <c r="G1301" s="1" t="s">
        <v>3030</v>
      </c>
      <c r="H1301" t="s">
        <v>172</v>
      </c>
      <c r="J1301" s="22">
        <v>0.4</v>
      </c>
      <c r="K1301" s="12"/>
      <c r="L1301" s="12">
        <v>40969</v>
      </c>
      <c r="M1301">
        <v>3</v>
      </c>
      <c r="N1301" s="49" t="s">
        <v>67</v>
      </c>
      <c r="O1301">
        <v>2012</v>
      </c>
      <c r="P1301">
        <v>0.1163</v>
      </c>
      <c r="Q1301" s="10"/>
      <c r="R1301" s="11">
        <f>ROUND(Таб[[#This Row],[Зелений Тариф ЕЦ]]+Таб[[#This Row],[Зелений Тариф ЕЦ]]*Таб[[#This Row],[% надбавки]],4)</f>
        <v>0.1163</v>
      </c>
      <c r="S1301" s="12"/>
      <c r="T1301">
        <v>9.4E-2</v>
      </c>
      <c r="U1301">
        <v>0.11299999999999999</v>
      </c>
      <c r="V1301">
        <v>0.19900000000000004</v>
      </c>
      <c r="W1301">
        <v>0.10599999999999998</v>
      </c>
      <c r="X1301">
        <v>9.1999999999999971E-2</v>
      </c>
      <c r="Y1301">
        <v>7.900000000000007E-2</v>
      </c>
      <c r="Z1301">
        <v>6.0999999999999943E-2</v>
      </c>
      <c r="AA1301">
        <v>4.0000000000000036E-2</v>
      </c>
      <c r="AB1301">
        <v>5.9999999999999942E-2</v>
      </c>
      <c r="AC1301">
        <v>7.7000000000000068E-2</v>
      </c>
      <c r="AD1301">
        <v>8.7999999999999856E-2</v>
      </c>
      <c r="AE1301">
        <v>9.3000000000000194E-2</v>
      </c>
      <c r="AF1301">
        <v>9.2999999999999999E-2</v>
      </c>
      <c r="AG1301">
        <v>8.5000000000000006E-2</v>
      </c>
      <c r="AH1301">
        <v>0.155</v>
      </c>
      <c r="AI1301">
        <v>0.129</v>
      </c>
      <c r="AJ1301">
        <v>7.0999999999999994E-2</v>
      </c>
      <c r="AK1301">
        <v>7.3999999999999996E-2</v>
      </c>
      <c r="AL1301">
        <v>0.112</v>
      </c>
      <c r="AM1301">
        <v>7.2999999999999995E-2</v>
      </c>
      <c r="AN1301">
        <v>6.4000000000000001E-2</v>
      </c>
      <c r="AO1301">
        <v>8.1000000000000003E-2</v>
      </c>
      <c r="AP1301">
        <v>0.08</v>
      </c>
      <c r="AQ1301">
        <v>8.6999999999999994E-2</v>
      </c>
      <c r="AR1301">
        <v>0.10299999999999999</v>
      </c>
      <c r="AS1301">
        <v>0.112</v>
      </c>
      <c r="AT1301">
        <v>0.106</v>
      </c>
      <c r="AU1301">
        <v>7.8E-2</v>
      </c>
      <c r="AV1301">
        <v>0.19</v>
      </c>
      <c r="AW1301">
        <v>0.14599999999999999</v>
      </c>
      <c r="AX1301">
        <v>7.6999999999999999E-2</v>
      </c>
      <c r="AY1301">
        <v>7.0000000000000007E-2</v>
      </c>
      <c r="BD130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98.208000000000013</v>
      </c>
      <c r="BE130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88.704000000000008</v>
      </c>
      <c r="BF130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98.208000000000013</v>
      </c>
      <c r="BG130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95.039999999999992</v>
      </c>
      <c r="BH130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98.208000000000013</v>
      </c>
      <c r="BI130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95.039999999999992</v>
      </c>
      <c r="BJ130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98.208000000000013</v>
      </c>
      <c r="BK130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98.208000000000013</v>
      </c>
      <c r="BL130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95.039999999999992</v>
      </c>
      <c r="BM130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98.208000000000013</v>
      </c>
      <c r="BN130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95.039999999999992</v>
      </c>
      <c r="BO130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98.208000000000013</v>
      </c>
      <c r="BP1301">
        <f>SUM(Таб[[#This Row],[1]:[12]])</f>
        <v>1156.3200000000002</v>
      </c>
    </row>
    <row r="1302" spans="2:68">
      <c r="B1302" t="s">
        <v>2715</v>
      </c>
      <c r="C1302" t="str">
        <f>IF(Таб[[#This Row],[Потужність, МВт]]&lt;0.2,"Мікро",IF(Таб[[#This Row],[Потужність, МВт]]&lt;1,"Міні","Мала"))</f>
        <v>Мікро</v>
      </c>
      <c r="G1302" s="1" t="s">
        <v>3030</v>
      </c>
      <c r="H1302" t="s">
        <v>172</v>
      </c>
      <c r="J1302" s="22">
        <v>0.125</v>
      </c>
      <c r="K1302" s="12"/>
      <c r="L1302" s="12">
        <v>42537</v>
      </c>
      <c r="M1302">
        <v>6</v>
      </c>
      <c r="N1302" s="49" t="s">
        <v>57</v>
      </c>
      <c r="O1302">
        <v>2016</v>
      </c>
      <c r="P1302">
        <v>0.1163</v>
      </c>
      <c r="Q1302" s="10"/>
      <c r="R1302" s="11">
        <f>ROUND(Таб[[#This Row],[Зелений Тариф ЕЦ]]+Таб[[#This Row],[Зелений Тариф ЕЦ]]*Таб[[#This Row],[% надбавки]],4)</f>
        <v>0.1163</v>
      </c>
      <c r="S1302" s="12"/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BD130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30.69</v>
      </c>
      <c r="BE130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27.72</v>
      </c>
      <c r="BF130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30.69</v>
      </c>
      <c r="BG130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29.700000000000003</v>
      </c>
      <c r="BH130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30.69</v>
      </c>
      <c r="BI130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29.700000000000003</v>
      </c>
      <c r="BJ130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30.69</v>
      </c>
      <c r="BK130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30.69</v>
      </c>
      <c r="BL130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29.700000000000003</v>
      </c>
      <c r="BM130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30.69</v>
      </c>
      <c r="BN130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29.700000000000003</v>
      </c>
      <c r="BO130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30.69</v>
      </c>
      <c r="BP1302">
        <f>SUM(Таб[[#This Row],[1]:[12]])</f>
        <v>361.34999999999997</v>
      </c>
    </row>
    <row r="1303" spans="2:68">
      <c r="B1303" t="s">
        <v>2715</v>
      </c>
      <c r="C1303" t="str">
        <f>IF(Таб[[#This Row],[Потужність, МВт]]&lt;0.2,"Мікро",IF(Таб[[#This Row],[Потужність, МВт]]&lt;1,"Міні","Мала"))</f>
        <v>Мікро</v>
      </c>
      <c r="G1303" s="1" t="s">
        <v>3030</v>
      </c>
      <c r="H1303" t="s">
        <v>172</v>
      </c>
      <c r="J1303" s="22">
        <v>7.4999999999999997E-2</v>
      </c>
      <c r="K1303" s="12"/>
      <c r="L1303" s="12">
        <v>42537</v>
      </c>
      <c r="M1303">
        <v>6</v>
      </c>
      <c r="N1303" s="49" t="s">
        <v>57</v>
      </c>
      <c r="O1303">
        <v>2016</v>
      </c>
      <c r="P1303">
        <v>0.1163</v>
      </c>
      <c r="Q1303" s="10"/>
      <c r="R1303" s="11">
        <f>ROUND(Таб[[#This Row],[Зелений Тариф ЕЦ]]+Таб[[#This Row],[Зелений Тариф ЕЦ]]*Таб[[#This Row],[% надбавки]],4)</f>
        <v>0.1163</v>
      </c>
      <c r="S1303" s="12"/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BD130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18.414000000000001</v>
      </c>
      <c r="BE130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16.632000000000001</v>
      </c>
      <c r="BF130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18.414000000000001</v>
      </c>
      <c r="BG130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17.82</v>
      </c>
      <c r="BH130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18.414000000000001</v>
      </c>
      <c r="BI130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17.82</v>
      </c>
      <c r="BJ130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18.414000000000001</v>
      </c>
      <c r="BK130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18.414000000000001</v>
      </c>
      <c r="BL130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17.82</v>
      </c>
      <c r="BM130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18.414000000000001</v>
      </c>
      <c r="BN130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17.82</v>
      </c>
      <c r="BO130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18.414000000000001</v>
      </c>
      <c r="BP1303">
        <f>SUM(Таб[[#This Row],[1]:[12]])</f>
        <v>216.81</v>
      </c>
    </row>
    <row r="1304" spans="2:68">
      <c r="B1304" t="s">
        <v>2715</v>
      </c>
      <c r="C1304" t="str">
        <f>IF(Таб[[#This Row],[Потужність, МВт]]&lt;0.2,"Мікро",IF(Таб[[#This Row],[Потужність, МВт]]&lt;1,"Міні","Мала"))</f>
        <v>Мікро</v>
      </c>
      <c r="G1304" s="1" t="s">
        <v>3030</v>
      </c>
      <c r="H1304" t="s">
        <v>172</v>
      </c>
      <c r="J1304" s="22">
        <v>7.4999999999999997E-2</v>
      </c>
      <c r="K1304" s="12"/>
      <c r="L1304" s="12">
        <v>42565</v>
      </c>
      <c r="M1304">
        <v>7</v>
      </c>
      <c r="N1304" s="49" t="s">
        <v>60</v>
      </c>
      <c r="O1304">
        <v>2016</v>
      </c>
      <c r="P1304">
        <v>0.17449999999999999</v>
      </c>
      <c r="Q1304" s="10"/>
      <c r="R1304" s="11">
        <f>ROUND(Таб[[#This Row],[Зелений Тариф ЕЦ]]+Таб[[#This Row],[Зелений Тариф ЕЦ]]*Таб[[#This Row],[% надбавки]],4)</f>
        <v>0.17449999999999999</v>
      </c>
      <c r="S1304" s="12"/>
      <c r="T1304">
        <v>5.0000000000000001E-3</v>
      </c>
      <c r="U1304">
        <v>8.0000000000000002E-3</v>
      </c>
      <c r="V1304">
        <v>1.2999999999999999E-2</v>
      </c>
      <c r="W1304">
        <v>6.0000000000000019E-3</v>
      </c>
      <c r="X1304">
        <v>4.9999999999999975E-3</v>
      </c>
      <c r="Y1304">
        <v>4.0000000000000036E-3</v>
      </c>
      <c r="Z1304">
        <v>1.9999999999999948E-3</v>
      </c>
      <c r="AA1304">
        <v>1.0000000000000009E-3</v>
      </c>
      <c r="AB1304">
        <v>0</v>
      </c>
      <c r="AC1304">
        <v>5.0000000000000044E-3</v>
      </c>
      <c r="AD1304">
        <v>3.9999999999999966E-3</v>
      </c>
      <c r="AE1304">
        <v>8.0000000000000002E-3</v>
      </c>
      <c r="AF1304">
        <v>8.0000000000000002E-3</v>
      </c>
      <c r="AG1304">
        <v>8.0000000000000002E-3</v>
      </c>
      <c r="AH1304">
        <v>1.4E-2</v>
      </c>
      <c r="AI1304">
        <v>1.2E-2</v>
      </c>
      <c r="AJ1304">
        <v>7.0000000000000001E-3</v>
      </c>
      <c r="AK1304">
        <v>8.9999999999999993E-3</v>
      </c>
      <c r="AL1304">
        <v>1.7000000000000001E-2</v>
      </c>
      <c r="AM1304">
        <v>0.01</v>
      </c>
      <c r="AN1304">
        <v>7.0000000000000001E-3</v>
      </c>
      <c r="AO1304">
        <v>8.9999999999999993E-3</v>
      </c>
      <c r="AP1304">
        <v>8.9999999999999993E-3</v>
      </c>
      <c r="AQ1304">
        <v>1.2E-2</v>
      </c>
      <c r="AR1304">
        <v>1.4E-2</v>
      </c>
      <c r="AS1304">
        <v>1.4E-2</v>
      </c>
      <c r="AT1304">
        <v>1.4E-2</v>
      </c>
      <c r="AU1304">
        <v>1.2E-2</v>
      </c>
      <c r="AV1304">
        <v>2.1000000000000001E-2</v>
      </c>
      <c r="AW1304">
        <v>0.02</v>
      </c>
      <c r="AX1304">
        <v>1.0999999999999999E-2</v>
      </c>
      <c r="AY1304">
        <v>0.01</v>
      </c>
      <c r="BD130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18.414000000000001</v>
      </c>
      <c r="BE130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16.632000000000001</v>
      </c>
      <c r="BF130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18.414000000000001</v>
      </c>
      <c r="BG130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17.82</v>
      </c>
      <c r="BH130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18.414000000000001</v>
      </c>
      <c r="BI130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17.82</v>
      </c>
      <c r="BJ130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18.414000000000001</v>
      </c>
      <c r="BK130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18.414000000000001</v>
      </c>
      <c r="BL130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17.82</v>
      </c>
      <c r="BM130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18.414000000000001</v>
      </c>
      <c r="BN130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17.82</v>
      </c>
      <c r="BO130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18.414000000000001</v>
      </c>
      <c r="BP1304">
        <f>SUM(Таб[[#This Row],[1]:[12]])</f>
        <v>216.81</v>
      </c>
    </row>
    <row r="1305" spans="2:68" ht="89.25">
      <c r="B1305" t="s">
        <v>2715</v>
      </c>
      <c r="C1305" t="str">
        <f>IF(Таб[[#This Row],[Потужність, МВт]]&lt;0.2,"Мікро",IF(Таб[[#This Row],[Потужність, МВт]]&lt;1,"Міні","Мала"))</f>
        <v>Мала</v>
      </c>
      <c r="G1305" s="1" t="s">
        <v>3040</v>
      </c>
      <c r="H1305" t="s">
        <v>65</v>
      </c>
      <c r="J1305" s="22">
        <v>1.27</v>
      </c>
      <c r="K1305" s="12"/>
      <c r="L1305" s="12">
        <v>40026</v>
      </c>
      <c r="M1305">
        <v>8</v>
      </c>
      <c r="N1305" s="49" t="s">
        <v>60</v>
      </c>
      <c r="O1305">
        <v>2009</v>
      </c>
      <c r="P1305">
        <v>0.1163</v>
      </c>
      <c r="Q1305" s="10"/>
      <c r="R1305" s="11">
        <f>ROUND(Таб[[#This Row],[Зелений Тариф ЕЦ]]+Таб[[#This Row],[Зелений Тариф ЕЦ]]*Таб[[#This Row],[% надбавки]],4)</f>
        <v>0.1163</v>
      </c>
      <c r="S1305" s="12"/>
      <c r="T1305">
        <v>2.1999999999999999E-2</v>
      </c>
      <c r="U1305">
        <v>0.13900000000000001</v>
      </c>
      <c r="V1305">
        <v>0.26500000000000001</v>
      </c>
      <c r="W1305">
        <v>0.27899999999999997</v>
      </c>
      <c r="X1305">
        <v>0.38700000000000012</v>
      </c>
      <c r="Y1305">
        <v>0.26800000000000002</v>
      </c>
      <c r="Z1305">
        <v>0.1359999999999999</v>
      </c>
      <c r="AA1305">
        <v>7.8999999999999959E-2</v>
      </c>
      <c r="AB1305">
        <v>8.0999999999999961E-2</v>
      </c>
      <c r="AC1305">
        <v>7.1000000000000174E-2</v>
      </c>
      <c r="AD1305">
        <v>0.1339999999999999</v>
      </c>
      <c r="AE1305">
        <v>0.20399999999999996</v>
      </c>
      <c r="AF1305">
        <v>0.13100000000000001</v>
      </c>
      <c r="AG1305">
        <v>8.7999999999999995E-2</v>
      </c>
      <c r="AH1305">
        <v>0.22800000000000001</v>
      </c>
      <c r="AI1305">
        <v>0.50900000000000001</v>
      </c>
      <c r="AJ1305">
        <v>0.17699999999999999</v>
      </c>
      <c r="AK1305">
        <v>0.192</v>
      </c>
      <c r="AL1305">
        <v>0.371</v>
      </c>
      <c r="AM1305">
        <v>0.317</v>
      </c>
      <c r="AN1305">
        <v>0.157</v>
      </c>
      <c r="AO1305">
        <v>0.13500000000000001</v>
      </c>
      <c r="AP1305">
        <v>0.08</v>
      </c>
      <c r="AQ1305">
        <v>8.7999999999999995E-2</v>
      </c>
      <c r="AR1305">
        <v>6.2E-2</v>
      </c>
      <c r="AS1305">
        <v>7.8E-2</v>
      </c>
      <c r="AT1305">
        <v>0.29199999999999998</v>
      </c>
      <c r="AU1305">
        <v>0.46100000000000002</v>
      </c>
      <c r="AV1305">
        <v>0.58899999999999997</v>
      </c>
      <c r="AW1305">
        <v>0.29899999999999999</v>
      </c>
      <c r="AX1305">
        <v>0.125</v>
      </c>
      <c r="AY1305">
        <v>9.2999999999999999E-2</v>
      </c>
      <c r="BD130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311.81040000000002</v>
      </c>
      <c r="BE130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281.6352</v>
      </c>
      <c r="BF130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311.81040000000002</v>
      </c>
      <c r="BG130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301.75200000000001</v>
      </c>
      <c r="BH130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311.81040000000002</v>
      </c>
      <c r="BI130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301.75200000000001</v>
      </c>
      <c r="BJ130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311.81040000000002</v>
      </c>
      <c r="BK130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311.81040000000002</v>
      </c>
      <c r="BL130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301.75200000000001</v>
      </c>
      <c r="BM130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311.81040000000002</v>
      </c>
      <c r="BN130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301.75200000000001</v>
      </c>
      <c r="BO130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311.81040000000002</v>
      </c>
      <c r="BP1305">
        <f>SUM(Таб[[#This Row],[1]:[12]])</f>
        <v>3671.3159999999993</v>
      </c>
    </row>
    <row r="1306" spans="2:68" ht="89.25">
      <c r="B1306" t="s">
        <v>2715</v>
      </c>
      <c r="C1306" t="str">
        <f>IF(Таб[[#This Row],[Потужність, МВт]]&lt;0.2,"Мікро",IF(Таб[[#This Row],[Потужність, МВт]]&lt;1,"Міні","Мала"))</f>
        <v>Міні</v>
      </c>
      <c r="G1306" s="1" t="s">
        <v>3040</v>
      </c>
      <c r="H1306" t="s">
        <v>65</v>
      </c>
      <c r="J1306" s="22">
        <v>0.23200000000000001</v>
      </c>
      <c r="K1306" s="12"/>
      <c r="L1306" s="12">
        <v>41459</v>
      </c>
      <c r="M1306">
        <v>7</v>
      </c>
      <c r="N1306" s="49" t="s">
        <v>60</v>
      </c>
      <c r="O1306">
        <v>2013</v>
      </c>
      <c r="P1306">
        <v>0.15509999999999999</v>
      </c>
      <c r="Q1306" s="10"/>
      <c r="R1306" s="11">
        <f>ROUND(Таб[[#This Row],[Зелений Тариф ЕЦ]]+Таб[[#This Row],[Зелений Тариф ЕЦ]]*Таб[[#This Row],[% надбавки]],4)</f>
        <v>0.15509999999999999</v>
      </c>
      <c r="S1306" s="12"/>
      <c r="T1306">
        <v>1.7999999999999999E-2</v>
      </c>
      <c r="U1306">
        <v>3.9000000000000007E-2</v>
      </c>
      <c r="V1306">
        <v>8.0000000000000016E-2</v>
      </c>
      <c r="W1306">
        <v>8.0999999999999989E-2</v>
      </c>
      <c r="X1306">
        <v>9.9000000000000005E-2</v>
      </c>
      <c r="Y1306">
        <v>6.7000000000000004E-2</v>
      </c>
      <c r="Z1306">
        <v>4.4999999999999984E-2</v>
      </c>
      <c r="AA1306">
        <v>2.9000000000000026E-2</v>
      </c>
      <c r="AB1306">
        <v>2.899999999999997E-2</v>
      </c>
      <c r="AC1306">
        <v>2.5000000000000022E-2</v>
      </c>
      <c r="AD1306">
        <v>4.7000000000000042E-2</v>
      </c>
      <c r="AE1306">
        <v>6.3999999999999946E-2</v>
      </c>
      <c r="AF1306">
        <v>4.4999999999999998E-2</v>
      </c>
      <c r="AG1306">
        <v>3.2000000000000001E-2</v>
      </c>
      <c r="AH1306">
        <v>5.8999999999999997E-2</v>
      </c>
      <c r="AI1306">
        <v>9.0999999999999998E-2</v>
      </c>
      <c r="AJ1306">
        <v>5.8000000000000003E-2</v>
      </c>
      <c r="AK1306">
        <v>5.6000000000000001E-2</v>
      </c>
      <c r="AL1306">
        <v>8.5000000000000006E-2</v>
      </c>
      <c r="AM1306">
        <v>7.0999999999999994E-2</v>
      </c>
      <c r="AN1306">
        <v>5.6000000000000001E-2</v>
      </c>
      <c r="AO1306">
        <v>4.9000000000000002E-2</v>
      </c>
      <c r="AP1306">
        <v>3.1E-2</v>
      </c>
      <c r="AQ1306">
        <v>3.1E-2</v>
      </c>
      <c r="AR1306">
        <v>2.1000000000000001E-2</v>
      </c>
      <c r="AS1306">
        <v>0.03</v>
      </c>
      <c r="AT1306">
        <v>7.6999999999999999E-2</v>
      </c>
      <c r="AU1306">
        <v>9.8000000000000004E-2</v>
      </c>
      <c r="AV1306">
        <v>9.7000000000000003E-2</v>
      </c>
      <c r="AW1306">
        <v>7.5999999999999998E-2</v>
      </c>
      <c r="AX1306">
        <v>4.7E-2</v>
      </c>
      <c r="AY1306">
        <v>3.6999999999999998E-2</v>
      </c>
      <c r="BD130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56.960639999999998</v>
      </c>
      <c r="BE130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51.44832000000001</v>
      </c>
      <c r="BF130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56.960639999999998</v>
      </c>
      <c r="BG130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55.123200000000004</v>
      </c>
      <c r="BH130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56.960639999999998</v>
      </c>
      <c r="BI130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55.123200000000004</v>
      </c>
      <c r="BJ130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56.960639999999998</v>
      </c>
      <c r="BK130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56.960639999999998</v>
      </c>
      <c r="BL130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55.123200000000004</v>
      </c>
      <c r="BM130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56.960639999999998</v>
      </c>
      <c r="BN130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55.123200000000004</v>
      </c>
      <c r="BO130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56.960639999999998</v>
      </c>
      <c r="BP1306">
        <f>SUM(Таб[[#This Row],[1]:[12]])</f>
        <v>670.66560000000004</v>
      </c>
    </row>
    <row r="1307" spans="2:68" ht="51">
      <c r="B1307" t="s">
        <v>2715</v>
      </c>
      <c r="C1307" t="str">
        <f>IF(Таб[[#This Row],[Потужність, МВт]]&lt;0.2,"Мікро",IF(Таб[[#This Row],[Потужність, МВт]]&lt;1,"Міні","Мала"))</f>
        <v>Мікро</v>
      </c>
      <c r="G1307" s="1" t="s">
        <v>3046</v>
      </c>
      <c r="H1307" t="s">
        <v>198</v>
      </c>
      <c r="J1307" s="22">
        <v>0.12</v>
      </c>
      <c r="K1307" s="12"/>
      <c r="L1307" s="12">
        <v>42873</v>
      </c>
      <c r="M1307">
        <v>5</v>
      </c>
      <c r="N1307" s="49" t="s">
        <v>57</v>
      </c>
      <c r="O1307">
        <v>2017</v>
      </c>
      <c r="P1307">
        <v>0.1163</v>
      </c>
      <c r="Q1307" s="10"/>
      <c r="R1307" s="11">
        <f>ROUND(Таб[[#This Row],[Зелений Тариф ЕЦ]]+Таб[[#This Row],[Зелений Тариф ЕЦ]]*Таб[[#This Row],[% надбавки]],4)</f>
        <v>0.1163</v>
      </c>
      <c r="S1307" s="12"/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3.0000000000000001E-3</v>
      </c>
      <c r="AB1307">
        <v>4.0000000000000001E-3</v>
      </c>
      <c r="AC1307">
        <v>0</v>
      </c>
      <c r="AD1307">
        <v>7.0000000000000001E-3</v>
      </c>
      <c r="AE1307">
        <v>3.9999999999999983E-3</v>
      </c>
      <c r="AF1307">
        <v>3.0000000000000001E-3</v>
      </c>
      <c r="AG1307">
        <v>0.02</v>
      </c>
      <c r="AH1307">
        <v>2.5999999999999999E-2</v>
      </c>
      <c r="AI1307">
        <v>0.02</v>
      </c>
      <c r="AJ1307">
        <v>1.9E-2</v>
      </c>
      <c r="AK1307">
        <v>1.6E-2</v>
      </c>
      <c r="AL1307">
        <v>1.4E-2</v>
      </c>
      <c r="AM1307">
        <v>1.7000000000000001E-2</v>
      </c>
      <c r="AN1307">
        <v>1.4999999999999999E-2</v>
      </c>
      <c r="AO1307">
        <v>1.2999999999999999E-2</v>
      </c>
      <c r="AP1307">
        <v>0.02</v>
      </c>
      <c r="AQ1307">
        <v>1.7000000000000001E-2</v>
      </c>
      <c r="AR1307">
        <v>2.1000000000000001E-2</v>
      </c>
      <c r="AS1307">
        <v>2.1000000000000001E-2</v>
      </c>
      <c r="AT1307">
        <v>2.3E-2</v>
      </c>
      <c r="AU1307">
        <v>2.1000000000000001E-2</v>
      </c>
      <c r="AV1307">
        <v>1.4999999999999999E-2</v>
      </c>
      <c r="AW1307">
        <v>2.1999999999999999E-2</v>
      </c>
      <c r="AX1307">
        <v>0</v>
      </c>
      <c r="AY1307">
        <v>2.5000000000000001E-2</v>
      </c>
      <c r="BD130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29.462400000000002</v>
      </c>
      <c r="BE130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26.6112</v>
      </c>
      <c r="BF130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29.462400000000002</v>
      </c>
      <c r="BG130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28.512000000000004</v>
      </c>
      <c r="BH130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29.462400000000002</v>
      </c>
      <c r="BI130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28.512000000000004</v>
      </c>
      <c r="BJ130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29.462400000000002</v>
      </c>
      <c r="BK130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29.462400000000002</v>
      </c>
      <c r="BL130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28.512000000000004</v>
      </c>
      <c r="BM130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29.462400000000002</v>
      </c>
      <c r="BN130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28.512000000000004</v>
      </c>
      <c r="BO130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29.462400000000002</v>
      </c>
      <c r="BP1307">
        <f>SUM(Таб[[#This Row],[1]:[12]])</f>
        <v>346.89600000000002</v>
      </c>
    </row>
    <row r="1308" spans="2:68" ht="25.5">
      <c r="B1308" t="s">
        <v>2715</v>
      </c>
      <c r="C1308" t="str">
        <f>IF(Таб[[#This Row],[Потужність, МВт]]&lt;0.2,"Мікро",IF(Таб[[#This Row],[Потужність, МВт]]&lt;1,"Міні","Мала"))</f>
        <v>Міні</v>
      </c>
      <c r="G1308" s="1" t="s">
        <v>949</v>
      </c>
      <c r="H1308" t="s">
        <v>172</v>
      </c>
      <c r="J1308" s="22">
        <v>0.6</v>
      </c>
      <c r="K1308" s="12"/>
      <c r="L1308" s="12">
        <v>40026</v>
      </c>
      <c r="M1308">
        <v>8</v>
      </c>
      <c r="N1308" s="49" t="s">
        <v>60</v>
      </c>
      <c r="O1308">
        <v>2009</v>
      </c>
      <c r="P1308">
        <v>0.1163</v>
      </c>
      <c r="Q1308" s="10"/>
      <c r="R1308" s="11">
        <f>ROUND(Таб[[#This Row],[Зелений Тариф ЕЦ]]+Таб[[#This Row],[Зелений Тариф ЕЦ]]*Таб[[#This Row],[% надбавки]],4)</f>
        <v>0.1163</v>
      </c>
      <c r="S1308" s="12"/>
      <c r="T1308">
        <v>0.155</v>
      </c>
      <c r="U1308">
        <v>0.18500000000000003</v>
      </c>
      <c r="V1308">
        <v>0.42099999999999999</v>
      </c>
      <c r="W1308">
        <v>0.20099999999999996</v>
      </c>
      <c r="X1308">
        <v>0.15400000000000014</v>
      </c>
      <c r="Y1308">
        <v>8.9999999999999858E-2</v>
      </c>
      <c r="Z1308">
        <v>9.6999999999999975E-2</v>
      </c>
      <c r="AA1308">
        <v>7.4999999999999956E-2</v>
      </c>
      <c r="AB1308">
        <v>0.17100000000000004</v>
      </c>
      <c r="AC1308">
        <v>0.18400000000000016</v>
      </c>
      <c r="AD1308">
        <v>0.17599999999999993</v>
      </c>
      <c r="AE1308">
        <v>18.495000000000001</v>
      </c>
      <c r="AF1308">
        <v>2.5059999999999998</v>
      </c>
      <c r="AG1308">
        <v>2.0390000000000001</v>
      </c>
      <c r="AH1308">
        <v>4.0880000000000001</v>
      </c>
      <c r="AI1308">
        <v>4.09</v>
      </c>
      <c r="AJ1308">
        <v>1.3660000000000001</v>
      </c>
      <c r="AK1308">
        <v>0.77600000000000002</v>
      </c>
      <c r="AL1308">
        <v>1.006</v>
      </c>
      <c r="AM1308">
        <v>0.93500000000000005</v>
      </c>
      <c r="AN1308">
        <v>0.94099999999999995</v>
      </c>
      <c r="AO1308">
        <v>2.464</v>
      </c>
      <c r="AP1308">
        <v>2.0030000000000001</v>
      </c>
      <c r="AQ1308">
        <v>1.71</v>
      </c>
      <c r="AR1308">
        <v>1.7909999999999999</v>
      </c>
      <c r="AS1308">
        <v>2.9729999999999999</v>
      </c>
      <c r="AT1308">
        <v>2.4049999999999998</v>
      </c>
      <c r="AU1308">
        <v>1.7729999999999999</v>
      </c>
      <c r="AV1308">
        <v>2.2370000000000001</v>
      </c>
      <c r="AW1308">
        <v>1.8420000000000001</v>
      </c>
      <c r="AX1308">
        <v>0.96399999999999997</v>
      </c>
      <c r="AY1308">
        <v>0.56499999999999995</v>
      </c>
      <c r="BD130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147.31200000000001</v>
      </c>
      <c r="BE130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133.05600000000001</v>
      </c>
      <c r="BF130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147.31200000000001</v>
      </c>
      <c r="BG130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142.56</v>
      </c>
      <c r="BH130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147.31200000000001</v>
      </c>
      <c r="BI130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142.56</v>
      </c>
      <c r="BJ130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147.31200000000001</v>
      </c>
      <c r="BK130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147.31200000000001</v>
      </c>
      <c r="BL130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142.56</v>
      </c>
      <c r="BM130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147.31200000000001</v>
      </c>
      <c r="BN130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142.56</v>
      </c>
      <c r="BO130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147.31200000000001</v>
      </c>
      <c r="BP1308">
        <f>SUM(Таб[[#This Row],[1]:[12]])</f>
        <v>1734.48</v>
      </c>
    </row>
    <row r="1309" spans="2:68" ht="25.5">
      <c r="B1309" t="s">
        <v>2715</v>
      </c>
      <c r="C1309" t="str">
        <f>IF(Таб[[#This Row],[Потужність, МВт]]&lt;0.2,"Мікро",IF(Таб[[#This Row],[Потужність, МВт]]&lt;1,"Міні","Мала"))</f>
        <v>Міні</v>
      </c>
      <c r="G1309" s="1" t="s">
        <v>949</v>
      </c>
      <c r="H1309" t="s">
        <v>172</v>
      </c>
      <c r="J1309" s="22">
        <v>0.36</v>
      </c>
      <c r="K1309" s="12"/>
      <c r="L1309" s="12">
        <v>40026</v>
      </c>
      <c r="M1309">
        <v>8</v>
      </c>
      <c r="N1309" s="49" t="s">
        <v>60</v>
      </c>
      <c r="O1309">
        <v>2009</v>
      </c>
      <c r="P1309">
        <v>0.1163</v>
      </c>
      <c r="Q1309" s="10"/>
      <c r="R1309" s="11">
        <f>ROUND(Таб[[#This Row],[Зелений Тариф ЕЦ]]+Таб[[#This Row],[Зелений Тариф ЕЦ]]*Таб[[#This Row],[% надбавки]],4)</f>
        <v>0.1163</v>
      </c>
      <c r="S1309" s="12"/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BD130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88.387200000000007</v>
      </c>
      <c r="BE130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79.833600000000004</v>
      </c>
      <c r="BF130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88.387200000000007</v>
      </c>
      <c r="BG130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85.536000000000001</v>
      </c>
      <c r="BH130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88.387200000000007</v>
      </c>
      <c r="BI130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85.536000000000001</v>
      </c>
      <c r="BJ130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88.387200000000007</v>
      </c>
      <c r="BK130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88.387200000000007</v>
      </c>
      <c r="BL130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85.536000000000001</v>
      </c>
      <c r="BM130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88.387200000000007</v>
      </c>
      <c r="BN130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85.536000000000001</v>
      </c>
      <c r="BO130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88.387200000000007</v>
      </c>
      <c r="BP1309">
        <f>SUM(Таб[[#This Row],[1]:[12]])</f>
        <v>1040.6880000000001</v>
      </c>
    </row>
    <row r="1310" spans="2:68" ht="25.5">
      <c r="B1310" t="s">
        <v>2715</v>
      </c>
      <c r="C1310" t="str">
        <f>IF(Таб[[#This Row],[Потужність, МВт]]&lt;0.2,"Мікро",IF(Таб[[#This Row],[Потужність, МВт]]&lt;1,"Міні","Мала"))</f>
        <v>Міні</v>
      </c>
      <c r="G1310" s="1" t="s">
        <v>949</v>
      </c>
      <c r="H1310" t="s">
        <v>163</v>
      </c>
      <c r="J1310" s="22">
        <v>0.4</v>
      </c>
      <c r="K1310" s="12"/>
      <c r="L1310" s="12">
        <v>40026</v>
      </c>
      <c r="M1310">
        <v>8</v>
      </c>
      <c r="N1310" s="49" t="s">
        <v>60</v>
      </c>
      <c r="O1310">
        <v>2009</v>
      </c>
      <c r="P1310">
        <v>0.1163</v>
      </c>
      <c r="Q1310" s="10"/>
      <c r="R1310" s="11">
        <f>ROUND(Таб[[#This Row],[Зелений Тариф ЕЦ]]+Таб[[#This Row],[Зелений Тариф ЕЦ]]*Таб[[#This Row],[% надбавки]],4)</f>
        <v>0.1163</v>
      </c>
      <c r="S1310" s="12"/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BD131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98.208000000000013</v>
      </c>
      <c r="BE131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88.704000000000008</v>
      </c>
      <c r="BF131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98.208000000000013</v>
      </c>
      <c r="BG131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95.039999999999992</v>
      </c>
      <c r="BH131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98.208000000000013</v>
      </c>
      <c r="BI131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95.039999999999992</v>
      </c>
      <c r="BJ131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98.208000000000013</v>
      </c>
      <c r="BK131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98.208000000000013</v>
      </c>
      <c r="BL131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95.039999999999992</v>
      </c>
      <c r="BM131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98.208000000000013</v>
      </c>
      <c r="BN131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95.039999999999992</v>
      </c>
      <c r="BO131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98.208000000000013</v>
      </c>
      <c r="BP1310">
        <f>SUM(Таб[[#This Row],[1]:[12]])</f>
        <v>1156.3200000000002</v>
      </c>
    </row>
    <row r="1311" spans="2:68" ht="25.5">
      <c r="B1311" t="s">
        <v>2715</v>
      </c>
      <c r="C1311" t="str">
        <f>IF(Таб[[#This Row],[Потужність, МВт]]&lt;0.2,"Мікро",IF(Таб[[#This Row],[Потужність, МВт]]&lt;1,"Міні","Мала"))</f>
        <v>Міні</v>
      </c>
      <c r="G1311" s="1" t="s">
        <v>949</v>
      </c>
      <c r="H1311" t="s">
        <v>163</v>
      </c>
      <c r="J1311" s="22">
        <v>0.39600000000000002</v>
      </c>
      <c r="K1311" s="12"/>
      <c r="L1311" s="12">
        <v>40026</v>
      </c>
      <c r="M1311">
        <v>8</v>
      </c>
      <c r="N1311" s="49" t="s">
        <v>60</v>
      </c>
      <c r="O1311">
        <v>2009</v>
      </c>
      <c r="P1311">
        <v>0.1163</v>
      </c>
      <c r="Q1311" s="10"/>
      <c r="R1311" s="11">
        <f>ROUND(Таб[[#This Row],[Зелений Тариф ЕЦ]]+Таб[[#This Row],[Зелений Тариф ЕЦ]]*Таб[[#This Row],[% надбавки]],4)</f>
        <v>0.1163</v>
      </c>
      <c r="S1311" s="12"/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BD131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97.225920000000016</v>
      </c>
      <c r="BE131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87.816960000000009</v>
      </c>
      <c r="BF131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97.225920000000016</v>
      </c>
      <c r="BG131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94.089600000000019</v>
      </c>
      <c r="BH131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97.225920000000016</v>
      </c>
      <c r="BI131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94.089600000000019</v>
      </c>
      <c r="BJ131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97.225920000000016</v>
      </c>
      <c r="BK131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97.225920000000016</v>
      </c>
      <c r="BL131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94.089600000000019</v>
      </c>
      <c r="BM131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97.225920000000016</v>
      </c>
      <c r="BN131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94.089600000000019</v>
      </c>
      <c r="BO131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97.225920000000016</v>
      </c>
      <c r="BP1311">
        <f>SUM(Таб[[#This Row],[1]:[12]])</f>
        <v>1144.7568000000003</v>
      </c>
    </row>
    <row r="1312" spans="2:68" ht="25.5">
      <c r="B1312" t="s">
        <v>2715</v>
      </c>
      <c r="C1312" t="str">
        <f>IF(Таб[[#This Row],[Потужність, МВт]]&lt;0.2,"Мікро",IF(Таб[[#This Row],[Потужність, МВт]]&lt;1,"Міні","Мала"))</f>
        <v>Міні</v>
      </c>
      <c r="G1312" s="1" t="s">
        <v>949</v>
      </c>
      <c r="H1312" t="s">
        <v>172</v>
      </c>
      <c r="J1312" s="22">
        <v>0.32</v>
      </c>
      <c r="K1312" s="12"/>
      <c r="L1312" s="12">
        <v>40026</v>
      </c>
      <c r="M1312">
        <v>8</v>
      </c>
      <c r="N1312" s="49" t="s">
        <v>60</v>
      </c>
      <c r="O1312">
        <v>2009</v>
      </c>
      <c r="P1312">
        <v>0.1163</v>
      </c>
      <c r="Q1312" s="10"/>
      <c r="R1312" s="11">
        <f>ROUND(Таб[[#This Row],[Зелений Тариф ЕЦ]]+Таб[[#This Row],[Зелений Тариф ЕЦ]]*Таб[[#This Row],[% надбавки]],4)</f>
        <v>0.1163</v>
      </c>
      <c r="S1312" s="12"/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BD131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78.566400000000016</v>
      </c>
      <c r="BE131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70.963200000000001</v>
      </c>
      <c r="BF131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78.566400000000016</v>
      </c>
      <c r="BG131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76.032000000000011</v>
      </c>
      <c r="BH131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78.566400000000016</v>
      </c>
      <c r="BI131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76.032000000000011</v>
      </c>
      <c r="BJ131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78.566400000000016</v>
      </c>
      <c r="BK131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78.566400000000016</v>
      </c>
      <c r="BL131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76.032000000000011</v>
      </c>
      <c r="BM131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78.566400000000016</v>
      </c>
      <c r="BN131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76.032000000000011</v>
      </c>
      <c r="BO131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78.566400000000016</v>
      </c>
      <c r="BP1312">
        <f>SUM(Таб[[#This Row],[1]:[12]])</f>
        <v>925.05600000000038</v>
      </c>
    </row>
    <row r="1313" spans="2:68" ht="25.5">
      <c r="B1313" t="s">
        <v>2715</v>
      </c>
      <c r="C1313" t="str">
        <f>IF(Таб[[#This Row],[Потужність, МВт]]&lt;0.2,"Мікро",IF(Таб[[#This Row],[Потужність, МВт]]&lt;1,"Міні","Мала"))</f>
        <v>Міні</v>
      </c>
      <c r="G1313" s="1" t="s">
        <v>949</v>
      </c>
      <c r="H1313" t="s">
        <v>62</v>
      </c>
      <c r="J1313" s="22">
        <v>0.35199999999999998</v>
      </c>
      <c r="K1313" s="12"/>
      <c r="L1313" s="12">
        <v>40026</v>
      </c>
      <c r="M1313">
        <v>8</v>
      </c>
      <c r="N1313" s="49" t="s">
        <v>60</v>
      </c>
      <c r="O1313">
        <v>2009</v>
      </c>
      <c r="P1313">
        <v>0.1163</v>
      </c>
      <c r="Q1313" s="10"/>
      <c r="R1313" s="11">
        <f>ROUND(Таб[[#This Row],[Зелений Тариф ЕЦ]]+Таб[[#This Row],[Зелений Тариф ЕЦ]]*Таб[[#This Row],[% надбавки]],4)</f>
        <v>0.1163</v>
      </c>
      <c r="S1313" s="12"/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BD131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86.42304</v>
      </c>
      <c r="BE131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78.059519999999992</v>
      </c>
      <c r="BF131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86.42304</v>
      </c>
      <c r="BG131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83.635199999999998</v>
      </c>
      <c r="BH131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86.42304</v>
      </c>
      <c r="BI131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83.635199999999998</v>
      </c>
      <c r="BJ131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86.42304</v>
      </c>
      <c r="BK131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86.42304</v>
      </c>
      <c r="BL131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83.635199999999998</v>
      </c>
      <c r="BM131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86.42304</v>
      </c>
      <c r="BN131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83.635199999999998</v>
      </c>
      <c r="BO131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86.42304</v>
      </c>
      <c r="BP1313">
        <f>SUM(Таб[[#This Row],[1]:[12]])</f>
        <v>1017.5616000000001</v>
      </c>
    </row>
    <row r="1314" spans="2:68" ht="25.5">
      <c r="B1314" t="s">
        <v>2715</v>
      </c>
      <c r="C1314" t="str">
        <f>IF(Таб[[#This Row],[Потужність, МВт]]&lt;0.2,"Мікро",IF(Таб[[#This Row],[Потужність, МВт]]&lt;1,"Міні","Мала"))</f>
        <v>Мала</v>
      </c>
      <c r="G1314" s="1" t="s">
        <v>949</v>
      </c>
      <c r="H1314" t="s">
        <v>163</v>
      </c>
      <c r="J1314" s="22">
        <v>2.39</v>
      </c>
      <c r="K1314" s="12"/>
      <c r="L1314" s="12">
        <v>40026</v>
      </c>
      <c r="M1314">
        <v>8</v>
      </c>
      <c r="N1314" s="49" t="s">
        <v>60</v>
      </c>
      <c r="O1314">
        <v>2009</v>
      </c>
      <c r="P1314">
        <v>0.1163</v>
      </c>
      <c r="Q1314" s="10"/>
      <c r="R1314" s="11">
        <f>ROUND(Таб[[#This Row],[Зелений Тариф ЕЦ]]+Таб[[#This Row],[Зелений Тариф ЕЦ]]*Таб[[#This Row],[% надбавки]],4)</f>
        <v>0.1163</v>
      </c>
      <c r="S1314" s="12"/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BD131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586.79280000000006</v>
      </c>
      <c r="BE131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530.00639999999999</v>
      </c>
      <c r="BF131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586.79280000000006</v>
      </c>
      <c r="BG131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567.86400000000003</v>
      </c>
      <c r="BH131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586.79280000000006</v>
      </c>
      <c r="BI131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567.86400000000003</v>
      </c>
      <c r="BJ131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586.79280000000006</v>
      </c>
      <c r="BK131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586.79280000000006</v>
      </c>
      <c r="BL131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567.86400000000003</v>
      </c>
      <c r="BM131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586.79280000000006</v>
      </c>
      <c r="BN131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567.86400000000003</v>
      </c>
      <c r="BO131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586.79280000000006</v>
      </c>
      <c r="BP1314">
        <f>SUM(Таб[[#This Row],[1]:[12]])</f>
        <v>6909.0120000000015</v>
      </c>
    </row>
    <row r="1315" spans="2:68" ht="25.5">
      <c r="B1315" t="s">
        <v>2715</v>
      </c>
      <c r="C1315" t="str">
        <f>IF(Таб[[#This Row],[Потужність, МВт]]&lt;0.2,"Мікро",IF(Таб[[#This Row],[Потужність, МВт]]&lt;1,"Міні","Мала"))</f>
        <v>Мікро</v>
      </c>
      <c r="G1315" s="1" t="s">
        <v>949</v>
      </c>
      <c r="H1315" t="s">
        <v>163</v>
      </c>
      <c r="J1315" s="22">
        <v>0.11</v>
      </c>
      <c r="K1315" s="12"/>
      <c r="L1315" s="12">
        <v>40026</v>
      </c>
      <c r="M1315">
        <v>8</v>
      </c>
      <c r="N1315" s="49" t="s">
        <v>60</v>
      </c>
      <c r="O1315">
        <v>2009</v>
      </c>
      <c r="P1315">
        <v>0.1163</v>
      </c>
      <c r="Q1315" s="10"/>
      <c r="R1315" s="11">
        <f>ROUND(Таб[[#This Row],[Зелений Тариф ЕЦ]]+Таб[[#This Row],[Зелений Тариф ЕЦ]]*Таб[[#This Row],[% надбавки]],4)</f>
        <v>0.1163</v>
      </c>
      <c r="S1315" s="12"/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1.504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BD131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27.007199999999997</v>
      </c>
      <c r="BE131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24.393599999999999</v>
      </c>
      <c r="BF131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27.007199999999997</v>
      </c>
      <c r="BG131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26.135999999999999</v>
      </c>
      <c r="BH131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27.007199999999997</v>
      </c>
      <c r="BI131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26.135999999999999</v>
      </c>
      <c r="BJ131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27.007199999999997</v>
      </c>
      <c r="BK131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27.007199999999997</v>
      </c>
      <c r="BL131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26.135999999999999</v>
      </c>
      <c r="BM131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27.007199999999997</v>
      </c>
      <c r="BN131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26.135999999999999</v>
      </c>
      <c r="BO131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27.007199999999997</v>
      </c>
      <c r="BP1315">
        <f>SUM(Таб[[#This Row],[1]:[12]])</f>
        <v>317.988</v>
      </c>
    </row>
    <row r="1316" spans="2:68" ht="25.5">
      <c r="B1316" t="s">
        <v>2715</v>
      </c>
      <c r="C1316" t="str">
        <f>IF(Таб[[#This Row],[Потужність, МВт]]&lt;0.2,"Мікро",IF(Таб[[#This Row],[Потужність, МВт]]&lt;1,"Міні","Мала"))</f>
        <v>Міні</v>
      </c>
      <c r="G1316" s="1" t="s">
        <v>949</v>
      </c>
      <c r="H1316" t="s">
        <v>163</v>
      </c>
      <c r="J1316" s="22">
        <v>0.42399999999999999</v>
      </c>
      <c r="K1316" s="12"/>
      <c r="L1316" s="12">
        <v>40026</v>
      </c>
      <c r="M1316">
        <v>8</v>
      </c>
      <c r="N1316" s="49" t="s">
        <v>60</v>
      </c>
      <c r="O1316">
        <v>2009</v>
      </c>
      <c r="P1316">
        <v>0.1163</v>
      </c>
      <c r="Q1316" s="10"/>
      <c r="R1316" s="11">
        <f>ROUND(Таб[[#This Row],[Зелений Тариф ЕЦ]]+Таб[[#This Row],[Зелений Тариф ЕЦ]]*Таб[[#This Row],[% надбавки]],4)</f>
        <v>0.1163</v>
      </c>
      <c r="S1316" s="12"/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BD131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104.10047999999999</v>
      </c>
      <c r="BE131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94.026239999999987</v>
      </c>
      <c r="BF131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104.10047999999999</v>
      </c>
      <c r="BG131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100.74239999999999</v>
      </c>
      <c r="BH131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104.10047999999999</v>
      </c>
      <c r="BI131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100.74239999999999</v>
      </c>
      <c r="BJ131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104.10047999999999</v>
      </c>
      <c r="BK131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104.10047999999999</v>
      </c>
      <c r="BL131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100.74239999999999</v>
      </c>
      <c r="BM131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104.10047999999999</v>
      </c>
      <c r="BN131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100.74239999999999</v>
      </c>
      <c r="BO131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104.10047999999999</v>
      </c>
      <c r="BP1316">
        <f>SUM(Таб[[#This Row],[1]:[12]])</f>
        <v>1225.6991999999998</v>
      </c>
    </row>
    <row r="1317" spans="2:68" ht="25.5">
      <c r="C1317" t="str">
        <f>IF(Таб[[#This Row],[Потужність, МВт]]&lt;0.2,"Мікро",IF(Таб[[#This Row],[Потужність, МВт]]&lt;1,"Міні","Мала"))</f>
        <v>Мікро</v>
      </c>
      <c r="G1317" s="1" t="s">
        <v>949</v>
      </c>
      <c r="H1317" t="s">
        <v>172</v>
      </c>
      <c r="J1317" s="22"/>
      <c r="K1317" s="12"/>
      <c r="L1317" s="12">
        <v>40026</v>
      </c>
      <c r="M1317">
        <v>8</v>
      </c>
      <c r="N1317" s="49" t="s">
        <v>60</v>
      </c>
      <c r="O1317">
        <v>2009</v>
      </c>
      <c r="P1317">
        <v>0</v>
      </c>
      <c r="Q1317" s="10"/>
      <c r="R1317" s="11">
        <f>ROUND(Таб[[#This Row],[Зелений Тариф ЕЦ]]+Таб[[#This Row],[Зелений Тариф ЕЦ]]*Таб[[#This Row],[% надбавки]],4)</f>
        <v>0</v>
      </c>
      <c r="S1317" s="12"/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1.504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BD131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31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31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31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31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31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31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31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31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31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31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31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317">
        <f>SUM(Таб[[#This Row],[1]:[12]])</f>
        <v>0</v>
      </c>
    </row>
    <row r="1318" spans="2:68" ht="25.5">
      <c r="B1318" t="s">
        <v>2715</v>
      </c>
      <c r="C1318" t="str">
        <f>IF(Таб[[#This Row],[Потужність, МВт]]&lt;0.2,"Мікро",IF(Таб[[#This Row],[Потужність, МВт]]&lt;1,"Міні","Мала"))</f>
        <v>Міні</v>
      </c>
      <c r="G1318" s="1" t="s">
        <v>949</v>
      </c>
      <c r="H1318" t="s">
        <v>198</v>
      </c>
      <c r="J1318" s="22">
        <v>0.64</v>
      </c>
      <c r="K1318" s="12"/>
      <c r="L1318" s="12">
        <v>40026</v>
      </c>
      <c r="M1318">
        <v>8</v>
      </c>
      <c r="N1318" s="49" t="s">
        <v>60</v>
      </c>
      <c r="O1318">
        <v>2009</v>
      </c>
      <c r="P1318">
        <v>0.1163</v>
      </c>
      <c r="Q1318" s="10"/>
      <c r="R1318" s="11">
        <f>ROUND(Таб[[#This Row],[Зелений Тариф ЕЦ]]+Таб[[#This Row],[Зелений Тариф ЕЦ]]*Таб[[#This Row],[% надбавки]],4)</f>
        <v>0.1163</v>
      </c>
      <c r="S1318" s="12"/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BD131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157.13280000000003</v>
      </c>
      <c r="BE131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141.9264</v>
      </c>
      <c r="BF131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157.13280000000003</v>
      </c>
      <c r="BG131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152.06400000000002</v>
      </c>
      <c r="BH131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157.13280000000003</v>
      </c>
      <c r="BI131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152.06400000000002</v>
      </c>
      <c r="BJ131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157.13280000000003</v>
      </c>
      <c r="BK131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157.13280000000003</v>
      </c>
      <c r="BL131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152.06400000000002</v>
      </c>
      <c r="BM131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157.13280000000003</v>
      </c>
      <c r="BN131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152.06400000000002</v>
      </c>
      <c r="BO131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157.13280000000003</v>
      </c>
      <c r="BP1318">
        <f>SUM(Таб[[#This Row],[1]:[12]])</f>
        <v>1850.1120000000008</v>
      </c>
    </row>
    <row r="1319" spans="2:68" ht="25.5">
      <c r="B1319" t="s">
        <v>2715</v>
      </c>
      <c r="C1319" t="str">
        <f>IF(Таб[[#This Row],[Потужність, МВт]]&lt;0.2,"Мікро",IF(Таб[[#This Row],[Потужність, МВт]]&lt;1,"Міні","Мала"))</f>
        <v>Мала</v>
      </c>
      <c r="G1319" s="1" t="s">
        <v>949</v>
      </c>
      <c r="H1319" t="s">
        <v>163</v>
      </c>
      <c r="J1319" s="22">
        <v>3</v>
      </c>
      <c r="K1319" s="12"/>
      <c r="L1319" s="12">
        <v>40026</v>
      </c>
      <c r="M1319">
        <v>8</v>
      </c>
      <c r="N1319" s="49" t="s">
        <v>60</v>
      </c>
      <c r="O1319">
        <v>2009</v>
      </c>
      <c r="P1319">
        <v>0.1163</v>
      </c>
      <c r="Q1319" s="10"/>
      <c r="R1319" s="11">
        <f>ROUND(Таб[[#This Row],[Зелений Тариф ЕЦ]]+Таб[[#This Row],[Зелений Тариф ЕЦ]]*Таб[[#This Row],[% надбавки]],4)</f>
        <v>0.1163</v>
      </c>
      <c r="S1319" s="12"/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BD131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736.56000000000006</v>
      </c>
      <c r="BE131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665.28</v>
      </c>
      <c r="BF131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736.56000000000006</v>
      </c>
      <c r="BG131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712.8</v>
      </c>
      <c r="BH131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736.56000000000006</v>
      </c>
      <c r="BI131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712.8</v>
      </c>
      <c r="BJ131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736.56000000000006</v>
      </c>
      <c r="BK131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736.56000000000006</v>
      </c>
      <c r="BL131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712.8</v>
      </c>
      <c r="BM131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736.56000000000006</v>
      </c>
      <c r="BN131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712.8</v>
      </c>
      <c r="BO131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736.56000000000006</v>
      </c>
      <c r="BP1319">
        <f>SUM(Таб[[#This Row],[1]:[12]])</f>
        <v>8672.4000000000015</v>
      </c>
    </row>
    <row r="1320" spans="2:68" ht="25.5">
      <c r="B1320" t="s">
        <v>2715</v>
      </c>
      <c r="C1320" t="str">
        <f>IF(Таб[[#This Row],[Потужність, МВт]]&lt;0.2,"Мікро",IF(Таб[[#This Row],[Потужність, МВт]]&lt;1,"Міні","Мала"))</f>
        <v>Мала</v>
      </c>
      <c r="G1320" s="1" t="s">
        <v>949</v>
      </c>
      <c r="H1320" t="s">
        <v>1257</v>
      </c>
      <c r="J1320" s="22">
        <v>1.2</v>
      </c>
      <c r="K1320" s="12"/>
      <c r="L1320" s="12">
        <v>40094</v>
      </c>
      <c r="M1320">
        <v>10</v>
      </c>
      <c r="N1320" s="49" t="s">
        <v>71</v>
      </c>
      <c r="O1320">
        <v>2009</v>
      </c>
      <c r="P1320">
        <v>0.1163</v>
      </c>
      <c r="Q1320" s="10"/>
      <c r="R1320" s="11">
        <f>ROUND(Таб[[#This Row],[Зелений Тариф ЕЦ]]+Таб[[#This Row],[Зелений Тариф ЕЦ]]*Таб[[#This Row],[% надбавки]],4)</f>
        <v>0.1163</v>
      </c>
      <c r="S1320" s="12"/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BD132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294.62400000000002</v>
      </c>
      <c r="BE132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266.11200000000002</v>
      </c>
      <c r="BF132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294.62400000000002</v>
      </c>
      <c r="BG132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285.12</v>
      </c>
      <c r="BH132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294.62400000000002</v>
      </c>
      <c r="BI132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285.12</v>
      </c>
      <c r="BJ132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294.62400000000002</v>
      </c>
      <c r="BK132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294.62400000000002</v>
      </c>
      <c r="BL132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285.12</v>
      </c>
      <c r="BM132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294.62400000000002</v>
      </c>
      <c r="BN132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285.12</v>
      </c>
      <c r="BO132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294.62400000000002</v>
      </c>
      <c r="BP1320">
        <f>SUM(Таб[[#This Row],[1]:[12]])</f>
        <v>3468.96</v>
      </c>
    </row>
    <row r="1321" spans="2:68" ht="25.5">
      <c r="B1321" t="s">
        <v>2715</v>
      </c>
      <c r="C1321" t="str">
        <f>IF(Таб[[#This Row],[Потужність, МВт]]&lt;0.2,"Мікро",IF(Таб[[#This Row],[Потужність, МВт]]&lt;1,"Міні","Мала"))</f>
        <v>Мікро</v>
      </c>
      <c r="G1321" s="1" t="s">
        <v>949</v>
      </c>
      <c r="H1321" t="s">
        <v>172</v>
      </c>
      <c r="J1321" s="22">
        <v>0.11</v>
      </c>
      <c r="K1321" s="12"/>
      <c r="L1321" s="12">
        <v>42822</v>
      </c>
      <c r="M1321">
        <v>3</v>
      </c>
      <c r="N1321" s="49" t="s">
        <v>67</v>
      </c>
      <c r="O1321">
        <v>2017</v>
      </c>
      <c r="P1321">
        <v>0.17449999999999999</v>
      </c>
      <c r="Q1321" s="10"/>
      <c r="R1321" s="11">
        <f>ROUND(Таб[[#This Row],[Зелений Тариф ЕЦ]]+Таб[[#This Row],[Зелений Тариф ЕЦ]]*Таб[[#This Row],[% надбавки]],4)</f>
        <v>0.17449999999999999</v>
      </c>
      <c r="S1321" s="12"/>
      <c r="T1321">
        <v>0</v>
      </c>
      <c r="U1321">
        <v>0</v>
      </c>
      <c r="V1321">
        <v>0</v>
      </c>
      <c r="W1321">
        <v>0</v>
      </c>
      <c r="X1321">
        <v>0.01</v>
      </c>
      <c r="Y1321">
        <v>9.9999999999999915E-4</v>
      </c>
      <c r="Z1321">
        <v>2.1000000000000001E-2</v>
      </c>
      <c r="AA1321">
        <v>0</v>
      </c>
      <c r="AB1321">
        <v>1.3999999999999999E-2</v>
      </c>
      <c r="AC1321">
        <v>4.9999999999999975E-3</v>
      </c>
      <c r="AD1321">
        <v>1.0000000000000009E-3</v>
      </c>
      <c r="AE1321">
        <v>3.7999999999999999E-2</v>
      </c>
      <c r="AF1321">
        <v>2.4E-2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1E-3</v>
      </c>
      <c r="AR1321">
        <v>0</v>
      </c>
      <c r="AS1321">
        <v>0</v>
      </c>
      <c r="AT1321">
        <v>1E-3</v>
      </c>
      <c r="AU1321">
        <v>2E-3</v>
      </c>
      <c r="AV1321">
        <v>0</v>
      </c>
      <c r="AW1321">
        <v>2E-3</v>
      </c>
      <c r="AX1321">
        <v>0</v>
      </c>
      <c r="AY1321">
        <v>0</v>
      </c>
      <c r="BD132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27.007199999999997</v>
      </c>
      <c r="BE132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24.393599999999999</v>
      </c>
      <c r="BF132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27.007199999999997</v>
      </c>
      <c r="BG132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26.135999999999999</v>
      </c>
      <c r="BH132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27.007199999999997</v>
      </c>
      <c r="BI132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26.135999999999999</v>
      </c>
      <c r="BJ132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27.007199999999997</v>
      </c>
      <c r="BK132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27.007199999999997</v>
      </c>
      <c r="BL132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26.135999999999999</v>
      </c>
      <c r="BM132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27.007199999999997</v>
      </c>
      <c r="BN132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26.135999999999999</v>
      </c>
      <c r="BO132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27.007199999999997</v>
      </c>
      <c r="BP1321">
        <f>SUM(Таб[[#This Row],[1]:[12]])</f>
        <v>317.988</v>
      </c>
    </row>
    <row r="1322" spans="2:68" ht="25.5">
      <c r="B1322" t="s">
        <v>2715</v>
      </c>
      <c r="C1322" t="str">
        <f>IF(Таб[[#This Row],[Потужність, МВт]]&lt;0.2,"Мікро",IF(Таб[[#This Row],[Потужність, МВт]]&lt;1,"Міні","Мала"))</f>
        <v>Мікро</v>
      </c>
      <c r="G1322" s="1" t="s">
        <v>949</v>
      </c>
      <c r="H1322" t="s">
        <v>1257</v>
      </c>
      <c r="J1322" s="22">
        <v>0.19800000000000001</v>
      </c>
      <c r="K1322" s="12"/>
      <c r="L1322" s="12">
        <v>43035</v>
      </c>
      <c r="M1322">
        <v>10</v>
      </c>
      <c r="N1322" s="49" t="s">
        <v>71</v>
      </c>
      <c r="O1322">
        <v>2017</v>
      </c>
      <c r="P1322">
        <v>0.17449999999999999</v>
      </c>
      <c r="Q1322" s="10">
        <v>0.05</v>
      </c>
      <c r="R1322" s="11">
        <f>ROUND(Таб[[#This Row],[Зелений Тариф ЕЦ]]+Таб[[#This Row],[Зелений Тариф ЕЦ]]*Таб[[#This Row],[% надбавки]],4)</f>
        <v>0.1832</v>
      </c>
      <c r="S1322" s="12">
        <v>43144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1.7000000000000001E-2</v>
      </c>
      <c r="AH1322">
        <v>4.3999999999999997E-2</v>
      </c>
      <c r="AI1322">
        <v>0.11899999999999999</v>
      </c>
      <c r="AJ1322">
        <v>4.2999999999999997E-2</v>
      </c>
      <c r="AK1322">
        <v>4.9000000000000002E-2</v>
      </c>
      <c r="AL1322">
        <v>9.8000000000000004E-2</v>
      </c>
      <c r="AM1322">
        <v>6.9000000000000006E-2</v>
      </c>
      <c r="AN1322">
        <v>6.3E-2</v>
      </c>
      <c r="AO1322">
        <v>4.3999999999999997E-2</v>
      </c>
      <c r="AP1322">
        <v>2.7E-2</v>
      </c>
      <c r="AQ1322">
        <v>2.1000000000000001E-2</v>
      </c>
      <c r="AR1322">
        <v>1.4999999999999999E-2</v>
      </c>
      <c r="AS1322">
        <v>1.6E-2</v>
      </c>
      <c r="AT1322">
        <v>0.06</v>
      </c>
      <c r="AU1322">
        <v>0.127</v>
      </c>
      <c r="AV1322">
        <v>0.127</v>
      </c>
      <c r="AW1322">
        <v>0.126</v>
      </c>
      <c r="AX1322">
        <v>4.8000000000000001E-2</v>
      </c>
      <c r="AY1322">
        <v>2.4E-2</v>
      </c>
      <c r="BD132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48.612960000000008</v>
      </c>
      <c r="BE132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43.908480000000004</v>
      </c>
      <c r="BF132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48.612960000000008</v>
      </c>
      <c r="BG132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47.044800000000009</v>
      </c>
      <c r="BH132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48.612960000000008</v>
      </c>
      <c r="BI132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47.044800000000009</v>
      </c>
      <c r="BJ132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48.612960000000008</v>
      </c>
      <c r="BK132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48.612960000000008</v>
      </c>
      <c r="BL132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47.044800000000009</v>
      </c>
      <c r="BM132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48.612960000000008</v>
      </c>
      <c r="BN132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47.044800000000009</v>
      </c>
      <c r="BO132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48.612960000000008</v>
      </c>
      <c r="BP1322">
        <f>SUM(Таб[[#This Row],[1]:[12]])</f>
        <v>572.37840000000017</v>
      </c>
    </row>
    <row r="1323" spans="2:68" ht="25.5">
      <c r="B1323" t="s">
        <v>2715</v>
      </c>
      <c r="C1323" t="str">
        <f>IF(Таб[[#This Row],[Потужність, МВт]]&lt;0.2,"Мікро",IF(Таб[[#This Row],[Потужність, МВт]]&lt;1,"Міні","Мала"))</f>
        <v>Мікро</v>
      </c>
      <c r="G1323" s="1" t="s">
        <v>3092</v>
      </c>
      <c r="H1323" t="s">
        <v>198</v>
      </c>
      <c r="J1323" s="22">
        <v>0.09</v>
      </c>
      <c r="K1323" s="12"/>
      <c r="L1323" s="12">
        <v>43431</v>
      </c>
      <c r="M1323">
        <v>11</v>
      </c>
      <c r="N1323" s="49" t="s">
        <v>71</v>
      </c>
      <c r="O1323">
        <v>2018</v>
      </c>
      <c r="P1323">
        <v>0.17449999999999999</v>
      </c>
      <c r="Q1323" s="10"/>
      <c r="R1323" s="11">
        <f>ROUND(Таб[[#This Row],[Зелений Тариф ЕЦ]]+Таб[[#This Row],[Зелений Тариф ЕЦ]]*Таб[[#This Row],[% надбавки]],4)</f>
        <v>0.17449999999999999</v>
      </c>
      <c r="S1323" s="12"/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8.0000000000000002E-3</v>
      </c>
      <c r="AT1323">
        <v>1.4999999999999999E-2</v>
      </c>
      <c r="AU1323">
        <v>7.0000000000000001E-3</v>
      </c>
      <c r="AV1323">
        <v>2.5999999999999999E-2</v>
      </c>
      <c r="AW1323">
        <v>2.4E-2</v>
      </c>
      <c r="AX1323">
        <v>2.1999999999999999E-2</v>
      </c>
      <c r="AY1323">
        <v>1.2E-2</v>
      </c>
      <c r="BD132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22.096800000000002</v>
      </c>
      <c r="BE132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19.958400000000001</v>
      </c>
      <c r="BF132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22.096800000000002</v>
      </c>
      <c r="BG132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21.384</v>
      </c>
      <c r="BH132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22.096800000000002</v>
      </c>
      <c r="BI132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21.384</v>
      </c>
      <c r="BJ132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22.096800000000002</v>
      </c>
      <c r="BK132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22.096800000000002</v>
      </c>
      <c r="BL132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21.384</v>
      </c>
      <c r="BM132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22.096800000000002</v>
      </c>
      <c r="BN132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21.384</v>
      </c>
      <c r="BO132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22.096800000000002</v>
      </c>
      <c r="BP1323">
        <f>SUM(Таб[[#This Row],[1]:[12]])</f>
        <v>260.17200000000003</v>
      </c>
    </row>
    <row r="1324" spans="2:68" ht="25.5">
      <c r="B1324" t="s">
        <v>2715</v>
      </c>
      <c r="C1324" t="str">
        <f>IF(Таб[[#This Row],[Потужність, МВт]]&lt;0.2,"Мікро",IF(Таб[[#This Row],[Потужність, МВт]]&lt;1,"Міні","Мала"))</f>
        <v>Мікро</v>
      </c>
      <c r="G1324" s="1" t="s">
        <v>3094</v>
      </c>
      <c r="H1324" t="s">
        <v>62</v>
      </c>
      <c r="J1324" s="22">
        <v>0.19800000000000001</v>
      </c>
      <c r="K1324" s="12"/>
      <c r="L1324" s="12">
        <v>43396</v>
      </c>
      <c r="M1324">
        <v>10</v>
      </c>
      <c r="N1324" s="49" t="s">
        <v>71</v>
      </c>
      <c r="O1324">
        <v>2018</v>
      </c>
      <c r="P1324">
        <v>0.17449999999999999</v>
      </c>
      <c r="Q1324" s="10">
        <v>0.05</v>
      </c>
      <c r="R1324" s="11">
        <f>ROUND(Таб[[#This Row],[Зелений Тариф ЕЦ]]+Таб[[#This Row],[Зелений Тариф ЕЦ]]*Таб[[#This Row],[% надбавки]],4)</f>
        <v>0.1832</v>
      </c>
      <c r="S1324" s="12">
        <v>43396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4.7E-2</v>
      </c>
      <c r="AS1324">
        <v>9.9000000000000005E-2</v>
      </c>
      <c r="AT1324">
        <v>0.10299999999999999</v>
      </c>
      <c r="AU1324">
        <v>9.5000000000000001E-2</v>
      </c>
      <c r="AV1324">
        <v>0.13900000000000001</v>
      </c>
      <c r="AW1324">
        <v>0.126</v>
      </c>
      <c r="AX1324">
        <v>7.8E-2</v>
      </c>
      <c r="AY1324">
        <v>6.0999999999999999E-2</v>
      </c>
      <c r="BD132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48.612960000000008</v>
      </c>
      <c r="BE132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43.908480000000004</v>
      </c>
      <c r="BF132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48.612960000000008</v>
      </c>
      <c r="BG132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47.044800000000009</v>
      </c>
      <c r="BH132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48.612960000000008</v>
      </c>
      <c r="BI132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47.044800000000009</v>
      </c>
      <c r="BJ132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48.612960000000008</v>
      </c>
      <c r="BK132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48.612960000000008</v>
      </c>
      <c r="BL132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47.044800000000009</v>
      </c>
      <c r="BM132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48.612960000000008</v>
      </c>
      <c r="BN132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47.044800000000009</v>
      </c>
      <c r="BO132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48.612960000000008</v>
      </c>
      <c r="BP1324">
        <f>SUM(Таб[[#This Row],[1]:[12]])</f>
        <v>572.37840000000017</v>
      </c>
    </row>
    <row r="1325" spans="2:68" ht="89.25">
      <c r="B1325" t="s">
        <v>2715</v>
      </c>
      <c r="C1325" t="str">
        <f>IF(Таб[[#This Row],[Потужність, МВт]]&lt;0.2,"Мікро",IF(Таб[[#This Row],[Потужність, МВт]]&lt;1,"Міні","Мала"))</f>
        <v>Мікро</v>
      </c>
      <c r="G1325" s="1" t="s">
        <v>3098</v>
      </c>
      <c r="H1325" t="s">
        <v>198</v>
      </c>
      <c r="J1325" s="22">
        <v>0.16500000000000001</v>
      </c>
      <c r="K1325" s="12"/>
      <c r="L1325" s="12">
        <v>40299</v>
      </c>
      <c r="M1325">
        <v>5</v>
      </c>
      <c r="N1325" s="49" t="s">
        <v>57</v>
      </c>
      <c r="O1325">
        <v>2010</v>
      </c>
      <c r="P1325">
        <v>0.1163</v>
      </c>
      <c r="Q1325" s="10"/>
      <c r="R1325" s="11">
        <f>ROUND(Таб[[#This Row],[Зелений Тариф ЕЦ]]+Таб[[#This Row],[Зелений Тариф ЕЦ]]*Таб[[#This Row],[% надбавки]],4)</f>
        <v>0.1163</v>
      </c>
      <c r="S1325" s="12"/>
      <c r="T1325">
        <v>6.7000000000000004E-2</v>
      </c>
      <c r="U1325">
        <v>7.8999999999999987E-2</v>
      </c>
      <c r="V1325">
        <v>0.16599999999999995</v>
      </c>
      <c r="W1325">
        <v>8.6000000000000076E-2</v>
      </c>
      <c r="X1325">
        <v>5.4999999999999993E-2</v>
      </c>
      <c r="Y1325">
        <v>2.0999999999999963E-2</v>
      </c>
      <c r="Z1325">
        <v>1.100000000000001E-2</v>
      </c>
      <c r="AA1325">
        <v>1.2000000000000011E-2</v>
      </c>
      <c r="AB1325">
        <v>6.2000000000000055E-2</v>
      </c>
      <c r="AC1325">
        <v>0.10799999999999998</v>
      </c>
      <c r="AD1325">
        <v>7.5999999999999956E-2</v>
      </c>
      <c r="AE1325">
        <v>8.9999999999999969E-2</v>
      </c>
      <c r="AF1325">
        <v>0.106</v>
      </c>
      <c r="AG1325">
        <v>7.8E-2</v>
      </c>
      <c r="AH1325">
        <v>0.16500000000000001</v>
      </c>
      <c r="AI1325">
        <v>9.1999999999999998E-2</v>
      </c>
      <c r="AJ1325">
        <v>2.5999999999999999E-2</v>
      </c>
      <c r="AK1325">
        <v>1.2E-2</v>
      </c>
      <c r="AL1325">
        <v>3.7999999999999999E-2</v>
      </c>
      <c r="AM1325">
        <v>2.7E-2</v>
      </c>
      <c r="AN1325">
        <v>4.2999999999999997E-2</v>
      </c>
      <c r="AO1325">
        <v>0.11799999999999999</v>
      </c>
      <c r="AP1325">
        <v>6.9000000000000006E-2</v>
      </c>
      <c r="AQ1325">
        <v>6.6000000000000003E-2</v>
      </c>
      <c r="AR1325">
        <v>6.6000000000000003E-2</v>
      </c>
      <c r="AS1325">
        <v>0.108</v>
      </c>
      <c r="AT1325">
        <v>7.3999999999999996E-2</v>
      </c>
      <c r="AU1325">
        <v>4.1000000000000002E-2</v>
      </c>
      <c r="AV1325">
        <v>8.3000000000000004E-2</v>
      </c>
      <c r="AW1325">
        <v>6.7000000000000004E-2</v>
      </c>
      <c r="AX1325">
        <v>2.4E-2</v>
      </c>
      <c r="AY1325">
        <v>7.0000000000000001E-3</v>
      </c>
      <c r="BD132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40.510800000000003</v>
      </c>
      <c r="BE132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36.590400000000002</v>
      </c>
      <c r="BF132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40.510800000000003</v>
      </c>
      <c r="BG132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39.204000000000008</v>
      </c>
      <c r="BH132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40.510800000000003</v>
      </c>
      <c r="BI132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39.204000000000008</v>
      </c>
      <c r="BJ132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40.510800000000003</v>
      </c>
      <c r="BK132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40.510800000000003</v>
      </c>
      <c r="BL132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39.204000000000008</v>
      </c>
      <c r="BM132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40.510800000000003</v>
      </c>
      <c r="BN132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39.204000000000008</v>
      </c>
      <c r="BO132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40.510800000000003</v>
      </c>
      <c r="BP1325">
        <f>SUM(Таб[[#This Row],[1]:[12]])</f>
        <v>476.98200000000014</v>
      </c>
    </row>
    <row r="1326" spans="2:68" ht="89.25">
      <c r="B1326" t="s">
        <v>2715</v>
      </c>
      <c r="C1326" t="str">
        <f>IF(Таб[[#This Row],[Потужність, МВт]]&lt;0.2,"Мікро",IF(Таб[[#This Row],[Потужність, МВт]]&lt;1,"Міні","Мала"))</f>
        <v>Мікро</v>
      </c>
      <c r="G1326" s="1" t="s">
        <v>3098</v>
      </c>
      <c r="H1326" t="s">
        <v>198</v>
      </c>
      <c r="J1326" s="22">
        <v>0.11</v>
      </c>
      <c r="K1326" s="12"/>
      <c r="L1326" s="12">
        <v>40745</v>
      </c>
      <c r="M1326">
        <v>7</v>
      </c>
      <c r="N1326" s="49" t="s">
        <v>60</v>
      </c>
      <c r="O1326">
        <v>2011</v>
      </c>
      <c r="P1326">
        <v>0.1163</v>
      </c>
      <c r="Q1326" s="10"/>
      <c r="R1326" s="11">
        <f>ROUND(Таб[[#This Row],[Зелений Тариф ЕЦ]]+Таб[[#This Row],[Зелений Тариф ЕЦ]]*Таб[[#This Row],[% надбавки]],4)</f>
        <v>0.1163</v>
      </c>
      <c r="S1326" s="12"/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BD132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27.007199999999997</v>
      </c>
      <c r="BE132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24.393599999999999</v>
      </c>
      <c r="BF132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27.007199999999997</v>
      </c>
      <c r="BG132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26.135999999999999</v>
      </c>
      <c r="BH132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27.007199999999997</v>
      </c>
      <c r="BI132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26.135999999999999</v>
      </c>
      <c r="BJ132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27.007199999999997</v>
      </c>
      <c r="BK132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27.007199999999997</v>
      </c>
      <c r="BL132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26.135999999999999</v>
      </c>
      <c r="BM132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27.007199999999997</v>
      </c>
      <c r="BN132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26.135999999999999</v>
      </c>
      <c r="BO132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27.007199999999997</v>
      </c>
      <c r="BP1326">
        <f>SUM(Таб[[#This Row],[1]:[12]])</f>
        <v>317.988</v>
      </c>
    </row>
    <row r="1327" spans="2:68" ht="89.25">
      <c r="B1327" t="s">
        <v>2715</v>
      </c>
      <c r="C1327" t="str">
        <f>IF(Таб[[#This Row],[Потужність, МВт]]&lt;0.2,"Мікро",IF(Таб[[#This Row],[Потужність, МВт]]&lt;1,"Міні","Мала"))</f>
        <v>Мікро</v>
      </c>
      <c r="G1327" s="1" t="s">
        <v>3098</v>
      </c>
      <c r="H1327" t="s">
        <v>198</v>
      </c>
      <c r="J1327" s="22">
        <v>5.5E-2</v>
      </c>
      <c r="K1327" s="12"/>
      <c r="L1327" s="12">
        <v>40909</v>
      </c>
      <c r="M1327">
        <v>1</v>
      </c>
      <c r="N1327" s="49" t="s">
        <v>67</v>
      </c>
      <c r="O1327">
        <v>2012</v>
      </c>
      <c r="P1327">
        <v>0.1163</v>
      </c>
      <c r="Q1327" s="10"/>
      <c r="R1327" s="11">
        <f>ROUND(Таб[[#This Row],[Зелений Тариф ЕЦ]]+Таб[[#This Row],[Зелений Тариф ЕЦ]]*Таб[[#This Row],[% надбавки]],4)</f>
        <v>0.1163</v>
      </c>
      <c r="S1327" s="12"/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BD132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13.503599999999999</v>
      </c>
      <c r="BE132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12.1968</v>
      </c>
      <c r="BF132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13.503599999999999</v>
      </c>
      <c r="BG132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13.068</v>
      </c>
      <c r="BH132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13.503599999999999</v>
      </c>
      <c r="BI132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13.068</v>
      </c>
      <c r="BJ132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13.503599999999999</v>
      </c>
      <c r="BK132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13.503599999999999</v>
      </c>
      <c r="BL132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13.068</v>
      </c>
      <c r="BM132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13.503599999999999</v>
      </c>
      <c r="BN132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13.068</v>
      </c>
      <c r="BO132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13.503599999999999</v>
      </c>
      <c r="BP1327">
        <f>SUM(Таб[[#This Row],[1]:[12]])</f>
        <v>158.994</v>
      </c>
    </row>
    <row r="1328" spans="2:68" ht="89.25">
      <c r="B1328" t="s">
        <v>2715</v>
      </c>
      <c r="C1328" t="str">
        <f>IF(Таб[[#This Row],[Потужність, МВт]]&lt;0.2,"Мікро",IF(Таб[[#This Row],[Потужність, МВт]]&lt;1,"Міні","Мала"))</f>
        <v>Мікро</v>
      </c>
      <c r="G1328" s="1" t="s">
        <v>3098</v>
      </c>
      <c r="H1328" t="s">
        <v>163</v>
      </c>
      <c r="J1328" s="22">
        <v>0.16500000000000001</v>
      </c>
      <c r="K1328" s="12"/>
      <c r="L1328" s="12">
        <v>40513</v>
      </c>
      <c r="M1328">
        <v>12</v>
      </c>
      <c r="N1328" s="49" t="s">
        <v>71</v>
      </c>
      <c r="O1328">
        <v>2010</v>
      </c>
      <c r="P1328">
        <v>0.1163</v>
      </c>
      <c r="Q1328" s="10"/>
      <c r="R1328" s="11">
        <f>ROUND(Таб[[#This Row],[Зелений Тариф ЕЦ]]+Таб[[#This Row],[Зелений Тариф ЕЦ]]*Таб[[#This Row],[% надбавки]],4)</f>
        <v>0.1163</v>
      </c>
      <c r="S1328" s="12"/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BD132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40.510800000000003</v>
      </c>
      <c r="BE132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36.590400000000002</v>
      </c>
      <c r="BF132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40.510800000000003</v>
      </c>
      <c r="BG132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39.204000000000008</v>
      </c>
      <c r="BH132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40.510800000000003</v>
      </c>
      <c r="BI132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39.204000000000008</v>
      </c>
      <c r="BJ132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40.510800000000003</v>
      </c>
      <c r="BK132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40.510800000000003</v>
      </c>
      <c r="BL132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39.204000000000008</v>
      </c>
      <c r="BM132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40.510800000000003</v>
      </c>
      <c r="BN132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39.204000000000008</v>
      </c>
      <c r="BO132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40.510800000000003</v>
      </c>
      <c r="BP1328">
        <f>SUM(Таб[[#This Row],[1]:[12]])</f>
        <v>476.98200000000014</v>
      </c>
    </row>
    <row r="1329" spans="2:68" ht="89.25">
      <c r="B1329" t="s">
        <v>2715</v>
      </c>
      <c r="C1329" t="str">
        <f>IF(Таб[[#This Row],[Потужність, МВт]]&lt;0.2,"Мікро",IF(Таб[[#This Row],[Потужність, МВт]]&lt;1,"Міні","Мала"))</f>
        <v>Мікро</v>
      </c>
      <c r="G1329" s="1" t="s">
        <v>3098</v>
      </c>
      <c r="H1329" t="s">
        <v>198</v>
      </c>
      <c r="J1329" s="22">
        <v>7.4999999999999997E-2</v>
      </c>
      <c r="K1329" s="12"/>
      <c r="L1329" s="12">
        <v>41585</v>
      </c>
      <c r="M1329">
        <v>11</v>
      </c>
      <c r="N1329" s="49" t="s">
        <v>71</v>
      </c>
      <c r="O1329">
        <v>2013</v>
      </c>
      <c r="P1329">
        <v>0.1163</v>
      </c>
      <c r="Q1329" s="10"/>
      <c r="R1329" s="11">
        <f>ROUND(Таб[[#This Row],[Зелений Тариф ЕЦ]]+Таб[[#This Row],[Зелений Тариф ЕЦ]]*Таб[[#This Row],[% надбавки]],4)</f>
        <v>0.1163</v>
      </c>
      <c r="S1329" s="12"/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BD132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18.414000000000001</v>
      </c>
      <c r="BE132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16.632000000000001</v>
      </c>
      <c r="BF132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18.414000000000001</v>
      </c>
      <c r="BG132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17.82</v>
      </c>
      <c r="BH132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18.414000000000001</v>
      </c>
      <c r="BI132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17.82</v>
      </c>
      <c r="BJ132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18.414000000000001</v>
      </c>
      <c r="BK132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18.414000000000001</v>
      </c>
      <c r="BL132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17.82</v>
      </c>
      <c r="BM132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18.414000000000001</v>
      </c>
      <c r="BN132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17.82</v>
      </c>
      <c r="BO132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18.414000000000001</v>
      </c>
      <c r="BP1329">
        <f>SUM(Таб[[#This Row],[1]:[12]])</f>
        <v>216.81</v>
      </c>
    </row>
    <row r="1330" spans="2:68" ht="89.25">
      <c r="B1330" t="s">
        <v>2715</v>
      </c>
      <c r="C1330" t="str">
        <f>IF(Таб[[#This Row],[Потужність, МВт]]&lt;0.2,"Мікро",IF(Таб[[#This Row],[Потужність, МВт]]&lt;1,"Міні","Мала"))</f>
        <v>Мікро</v>
      </c>
      <c r="G1330" s="1" t="s">
        <v>3098</v>
      </c>
      <c r="H1330" t="s">
        <v>176</v>
      </c>
      <c r="J1330" s="22">
        <v>0.13</v>
      </c>
      <c r="K1330" s="12"/>
      <c r="L1330" s="12">
        <v>40948</v>
      </c>
      <c r="M1330">
        <v>2</v>
      </c>
      <c r="N1330" s="49" t="s">
        <v>67</v>
      </c>
      <c r="O1330">
        <v>2012</v>
      </c>
      <c r="P1330">
        <v>0.1163</v>
      </c>
      <c r="Q1330" s="10"/>
      <c r="R1330" s="11">
        <f>ROUND(Таб[[#This Row],[Зелений Тариф ЕЦ]]+Таб[[#This Row],[Зелений Тариф ЕЦ]]*Таб[[#This Row],[% надбавки]],4)</f>
        <v>0.1163</v>
      </c>
      <c r="S1330" s="12"/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BD133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31.9176</v>
      </c>
      <c r="BE133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28.828800000000001</v>
      </c>
      <c r="BF133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31.9176</v>
      </c>
      <c r="BG133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30.887999999999998</v>
      </c>
      <c r="BH133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31.9176</v>
      </c>
      <c r="BI133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30.887999999999998</v>
      </c>
      <c r="BJ133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31.9176</v>
      </c>
      <c r="BK133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31.9176</v>
      </c>
      <c r="BL133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30.887999999999998</v>
      </c>
      <c r="BM133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31.9176</v>
      </c>
      <c r="BN133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30.887999999999998</v>
      </c>
      <c r="BO133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31.9176</v>
      </c>
      <c r="BP1330">
        <f>SUM(Таб[[#This Row],[1]:[12]])</f>
        <v>375.80399999999992</v>
      </c>
    </row>
    <row r="1331" spans="2:68" ht="89.25">
      <c r="B1331" t="s">
        <v>2715</v>
      </c>
      <c r="C1331" t="str">
        <f>IF(Таб[[#This Row],[Потужність, МВт]]&lt;0.2,"Мікро",IF(Таб[[#This Row],[Потужність, МВт]]&lt;1,"Міні","Мала"))</f>
        <v>Мікро</v>
      </c>
      <c r="G1331" s="1" t="s">
        <v>3098</v>
      </c>
      <c r="H1331" t="s">
        <v>198</v>
      </c>
      <c r="I1331" t="s">
        <v>3118</v>
      </c>
      <c r="J1331" s="22">
        <v>0.11</v>
      </c>
      <c r="K1331" s="12"/>
      <c r="L1331" s="12">
        <v>41998</v>
      </c>
      <c r="M1331">
        <v>12</v>
      </c>
      <c r="N1331" s="49" t="s">
        <v>71</v>
      </c>
      <c r="O1331">
        <v>2014</v>
      </c>
      <c r="P1331">
        <v>0.19389999999999999</v>
      </c>
      <c r="Q1331" s="10"/>
      <c r="R1331" s="11">
        <f>ROUND(Таб[[#This Row],[Зелений Тариф ЕЦ]]+Таб[[#This Row],[Зелений Тариф ЕЦ]]*Таб[[#This Row],[% надбавки]],4)</f>
        <v>0.19389999999999999</v>
      </c>
      <c r="S1331" s="12"/>
      <c r="T1331">
        <v>8.0000000000000002E-3</v>
      </c>
      <c r="U1331">
        <v>1.9E-2</v>
      </c>
      <c r="V1331">
        <v>3.3000000000000002E-2</v>
      </c>
      <c r="W1331">
        <v>5.8999999999999997E-2</v>
      </c>
      <c r="X1331">
        <v>2.0000000000000018E-2</v>
      </c>
      <c r="Y1331">
        <v>1.7999999999999988E-2</v>
      </c>
      <c r="Z1331">
        <v>5.0000000000000044E-3</v>
      </c>
      <c r="AA1331">
        <v>2.0000000000000018E-3</v>
      </c>
      <c r="AB1331">
        <v>2.6999999999999996E-2</v>
      </c>
      <c r="AC1331">
        <v>6.3E-2</v>
      </c>
      <c r="AD1331">
        <v>2.1000000000000019E-2</v>
      </c>
      <c r="AE1331">
        <v>2.5999999999999968E-2</v>
      </c>
      <c r="AF1331">
        <v>2.1999999999999999E-2</v>
      </c>
      <c r="AG1331">
        <v>3.1E-2</v>
      </c>
      <c r="AH1331">
        <v>6.4000000000000001E-2</v>
      </c>
      <c r="AI1331">
        <v>6.5000000000000002E-2</v>
      </c>
      <c r="AJ1331">
        <v>1.2999999999999999E-2</v>
      </c>
      <c r="AK1331">
        <v>0.01</v>
      </c>
      <c r="AL1331">
        <v>3.4000000000000002E-2</v>
      </c>
      <c r="AM1331">
        <v>1.4E-2</v>
      </c>
      <c r="AN1331">
        <v>4.8000000000000001E-2</v>
      </c>
      <c r="AO1331">
        <v>6.9000000000000006E-2</v>
      </c>
      <c r="AP1331">
        <v>2.7E-2</v>
      </c>
      <c r="AQ1331">
        <v>1.7000000000000001E-2</v>
      </c>
      <c r="AR1331">
        <v>2.1000000000000001E-2</v>
      </c>
      <c r="AS1331">
        <v>5.0999999999999997E-2</v>
      </c>
      <c r="AT1331">
        <v>2.1999999999999999E-2</v>
      </c>
      <c r="AU1331">
        <v>1.4999999999999999E-2</v>
      </c>
      <c r="AV1331">
        <v>3.1E-2</v>
      </c>
      <c r="AW1331">
        <v>5.1999999999999998E-2</v>
      </c>
      <c r="AX1331">
        <v>8.0000000000000002E-3</v>
      </c>
      <c r="AY1331">
        <v>3.0000000000000001E-3</v>
      </c>
      <c r="BD133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27.007199999999997</v>
      </c>
      <c r="BE133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24.393599999999999</v>
      </c>
      <c r="BF133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27.007199999999997</v>
      </c>
      <c r="BG133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26.135999999999999</v>
      </c>
      <c r="BH133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27.007199999999997</v>
      </c>
      <c r="BI133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26.135999999999999</v>
      </c>
      <c r="BJ133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27.007199999999997</v>
      </c>
      <c r="BK133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27.007199999999997</v>
      </c>
      <c r="BL133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26.135999999999999</v>
      </c>
      <c r="BM133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27.007199999999997</v>
      </c>
      <c r="BN133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26.135999999999999</v>
      </c>
      <c r="BO133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27.007199999999997</v>
      </c>
      <c r="BP1331">
        <f>SUM(Таб[[#This Row],[1]:[12]])</f>
        <v>317.988</v>
      </c>
    </row>
    <row r="1332" spans="2:68" ht="89.25">
      <c r="B1332" t="s">
        <v>2715</v>
      </c>
      <c r="C1332" t="str">
        <f>IF(Таб[[#This Row],[Потужність, МВт]]&lt;0.2,"Мікро",IF(Таб[[#This Row],[Потужність, МВт]]&lt;1,"Міні","Мала"))</f>
        <v>Мікро</v>
      </c>
      <c r="G1332" s="1" t="s">
        <v>3098</v>
      </c>
      <c r="H1332" t="s">
        <v>198</v>
      </c>
      <c r="I1332" t="s">
        <v>3118</v>
      </c>
      <c r="J1332" s="22">
        <v>7.4999999999999997E-2</v>
      </c>
      <c r="K1332" s="12"/>
      <c r="L1332" s="12">
        <v>41606</v>
      </c>
      <c r="M1332">
        <v>11</v>
      </c>
      <c r="N1332" s="49" t="s">
        <v>71</v>
      </c>
      <c r="O1332">
        <v>2013</v>
      </c>
      <c r="P1332">
        <v>0.19389999999999999</v>
      </c>
      <c r="Q1332" s="10"/>
      <c r="R1332" s="11">
        <f>ROUND(Таб[[#This Row],[Зелений Тариф ЕЦ]]+Таб[[#This Row],[Зелений Тариф ЕЦ]]*Таб[[#This Row],[% надбавки]],4)</f>
        <v>0.19389999999999999</v>
      </c>
      <c r="S1332" s="12"/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BD133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18.414000000000001</v>
      </c>
      <c r="BE133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16.632000000000001</v>
      </c>
      <c r="BF133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18.414000000000001</v>
      </c>
      <c r="BG133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17.82</v>
      </c>
      <c r="BH133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18.414000000000001</v>
      </c>
      <c r="BI133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17.82</v>
      </c>
      <c r="BJ133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18.414000000000001</v>
      </c>
      <c r="BK133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18.414000000000001</v>
      </c>
      <c r="BL133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17.82</v>
      </c>
      <c r="BM133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18.414000000000001</v>
      </c>
      <c r="BN133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17.82</v>
      </c>
      <c r="BO133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18.414000000000001</v>
      </c>
      <c r="BP1332">
        <f>SUM(Таб[[#This Row],[1]:[12]])</f>
        <v>216.81</v>
      </c>
    </row>
    <row r="1333" spans="2:68" ht="25.5">
      <c r="B1333" t="s">
        <v>2715</v>
      </c>
      <c r="C1333" t="str">
        <f>IF(Таб[[#This Row],[Потужність, МВт]]&lt;0.2,"Мікро",IF(Таб[[#This Row],[Потужність, МВт]]&lt;1,"Міні","Мала"))</f>
        <v>Мікро</v>
      </c>
      <c r="G1333" s="1" t="s">
        <v>3123</v>
      </c>
      <c r="H1333" t="s">
        <v>198</v>
      </c>
      <c r="I1333" t="s">
        <v>2808</v>
      </c>
      <c r="J1333" s="22">
        <v>0.11</v>
      </c>
      <c r="K1333" s="12"/>
      <c r="L1333" s="12">
        <v>43448</v>
      </c>
      <c r="M1333">
        <v>12</v>
      </c>
      <c r="N1333" s="49" t="s">
        <v>71</v>
      </c>
      <c r="O1333">
        <v>2018</v>
      </c>
      <c r="P1333">
        <v>0.17449999999999999</v>
      </c>
      <c r="Q1333" s="10">
        <v>0.05</v>
      </c>
      <c r="R1333" s="11">
        <f>ROUND(Таб[[#This Row],[Зелений Тариф ЕЦ]]+Таб[[#This Row],[Зелений Тариф ЕЦ]]*Таб[[#This Row],[% надбавки]],4)</f>
        <v>0.1832</v>
      </c>
      <c r="S1333" s="12">
        <v>43448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1.2E-2</v>
      </c>
      <c r="AS1333">
        <v>1.7999999999999999E-2</v>
      </c>
      <c r="AT1333">
        <v>1.4E-2</v>
      </c>
      <c r="AU1333">
        <v>1.2E-2</v>
      </c>
      <c r="AV1333">
        <v>7.0000000000000001E-3</v>
      </c>
      <c r="AW1333">
        <v>0</v>
      </c>
      <c r="AX1333">
        <v>0</v>
      </c>
      <c r="AY1333">
        <v>1E-3</v>
      </c>
      <c r="BD133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27.007199999999997</v>
      </c>
      <c r="BE133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24.393599999999999</v>
      </c>
      <c r="BF133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27.007199999999997</v>
      </c>
      <c r="BG133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26.135999999999999</v>
      </c>
      <c r="BH133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27.007199999999997</v>
      </c>
      <c r="BI133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26.135999999999999</v>
      </c>
      <c r="BJ133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27.007199999999997</v>
      </c>
      <c r="BK133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27.007199999999997</v>
      </c>
      <c r="BL133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26.135999999999999</v>
      </c>
      <c r="BM133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27.007199999999997</v>
      </c>
      <c r="BN133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26.135999999999999</v>
      </c>
      <c r="BO133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27.007199999999997</v>
      </c>
      <c r="BP1333">
        <f>SUM(Таб[[#This Row],[1]:[12]])</f>
        <v>317.988</v>
      </c>
    </row>
    <row r="1334" spans="2:68" ht="38.25">
      <c r="B1334" t="s">
        <v>2715</v>
      </c>
      <c r="C1334" t="str">
        <f>IF(Таб[[#This Row],[Потужність, МВт]]&lt;0.2,"Мікро",IF(Таб[[#This Row],[Потужність, МВт]]&lt;1,"Міні","Мала"))</f>
        <v>Міні</v>
      </c>
      <c r="G1334" s="1" t="s">
        <v>3126</v>
      </c>
      <c r="H1334" t="s">
        <v>176</v>
      </c>
      <c r="I1334" t="s">
        <v>3128</v>
      </c>
      <c r="J1334" s="22">
        <v>0.2</v>
      </c>
      <c r="K1334" s="12"/>
      <c r="L1334" s="12">
        <v>40148</v>
      </c>
      <c r="M1334">
        <v>12</v>
      </c>
      <c r="N1334" s="49" t="s">
        <v>71</v>
      </c>
      <c r="O1334">
        <v>2009</v>
      </c>
      <c r="P1334">
        <v>0.1163</v>
      </c>
      <c r="Q1334" s="10"/>
      <c r="R1334" s="11">
        <f>ROUND(Таб[[#This Row],[Зелений Тариф ЕЦ]]+Таб[[#This Row],[Зелений Тариф ЕЦ]]*Таб[[#This Row],[% надбавки]],4)</f>
        <v>0.1163</v>
      </c>
      <c r="S1334" s="12"/>
      <c r="T1334">
        <v>7.3999999999999996E-2</v>
      </c>
      <c r="U1334">
        <v>0.10099999999999999</v>
      </c>
      <c r="V1334">
        <v>0.29699999999999999</v>
      </c>
      <c r="W1334">
        <v>0.16800000000000004</v>
      </c>
      <c r="X1334">
        <v>8.7999999999999967E-2</v>
      </c>
      <c r="Y1334">
        <v>7.4000000000000066E-2</v>
      </c>
      <c r="Z1334">
        <v>3.5999999999999921E-2</v>
      </c>
      <c r="AA1334">
        <v>3.7000000000000033E-2</v>
      </c>
      <c r="AB1334">
        <v>3.6000000000000032E-2</v>
      </c>
      <c r="AC1334">
        <v>7.8999999999999959E-2</v>
      </c>
      <c r="AD1334">
        <v>9.099999999999997E-2</v>
      </c>
      <c r="AE1334">
        <v>0.10099999999999998</v>
      </c>
      <c r="AF1334">
        <v>9.8000000000000004E-2</v>
      </c>
      <c r="AG1334">
        <v>9.8000000000000004E-2</v>
      </c>
      <c r="AH1334">
        <v>0.24199999999999999</v>
      </c>
      <c r="AI1334">
        <v>0.21199999999999999</v>
      </c>
      <c r="AJ1334">
        <v>7.1999999999999995E-2</v>
      </c>
      <c r="AK1334">
        <v>4.2000000000000003E-2</v>
      </c>
      <c r="AL1334">
        <v>6.3E-2</v>
      </c>
      <c r="AM1334">
        <v>3.9E-2</v>
      </c>
      <c r="AN1334">
        <v>1.9E-2</v>
      </c>
      <c r="AO1334">
        <v>5.5E-2</v>
      </c>
      <c r="AP1334">
        <v>0.05</v>
      </c>
      <c r="AQ1334">
        <v>7.5999999999999998E-2</v>
      </c>
      <c r="AR1334">
        <v>9.4E-2</v>
      </c>
      <c r="AS1334">
        <v>0.14099999999999999</v>
      </c>
      <c r="AT1334">
        <v>0.10299999999999999</v>
      </c>
      <c r="AU1334">
        <v>7.0000000000000007E-2</v>
      </c>
      <c r="AV1334">
        <v>0.23799999999999999</v>
      </c>
      <c r="AW1334">
        <v>0.17599999999999999</v>
      </c>
      <c r="AX1334">
        <v>5.5E-2</v>
      </c>
      <c r="AY1334">
        <v>2.3E-2</v>
      </c>
      <c r="BD133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49.104000000000006</v>
      </c>
      <c r="BE133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44.352000000000004</v>
      </c>
      <c r="BF133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49.104000000000006</v>
      </c>
      <c r="BG133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47.519999999999996</v>
      </c>
      <c r="BH133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49.104000000000006</v>
      </c>
      <c r="BI133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47.519999999999996</v>
      </c>
      <c r="BJ133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49.104000000000006</v>
      </c>
      <c r="BK133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49.104000000000006</v>
      </c>
      <c r="BL133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47.519999999999996</v>
      </c>
      <c r="BM133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49.104000000000006</v>
      </c>
      <c r="BN133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47.519999999999996</v>
      </c>
      <c r="BO133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49.104000000000006</v>
      </c>
      <c r="BP1334">
        <f>SUM(Таб[[#This Row],[1]:[12]])</f>
        <v>578.16000000000008</v>
      </c>
    </row>
    <row r="1335" spans="2:68" ht="38.25">
      <c r="B1335" t="s">
        <v>2715</v>
      </c>
      <c r="C1335" t="str">
        <f>IF(Таб[[#This Row],[Потужність, МВт]]&lt;0.2,"Мікро",IF(Таб[[#This Row],[Потужність, МВт]]&lt;1,"Міні","Мала"))</f>
        <v>Міні</v>
      </c>
      <c r="G1335" s="1" t="s">
        <v>3126</v>
      </c>
      <c r="H1335" t="s">
        <v>176</v>
      </c>
      <c r="I1335" t="s">
        <v>3128</v>
      </c>
      <c r="J1335" s="22">
        <v>0.4</v>
      </c>
      <c r="K1335" s="12"/>
      <c r="L1335" s="12">
        <v>40148</v>
      </c>
      <c r="M1335">
        <v>12</v>
      </c>
      <c r="N1335" s="49" t="s">
        <v>71</v>
      </c>
      <c r="O1335">
        <v>2009</v>
      </c>
      <c r="P1335">
        <v>0.1163</v>
      </c>
      <c r="Q1335" s="10"/>
      <c r="R1335" s="11">
        <f>ROUND(Таб[[#This Row],[Зелений Тариф ЕЦ]]+Таб[[#This Row],[Зелений Тариф ЕЦ]]*Таб[[#This Row],[% надбавки]],4)</f>
        <v>0.1163</v>
      </c>
      <c r="S1335" s="12"/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BD133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98.208000000000013</v>
      </c>
      <c r="BE133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88.704000000000008</v>
      </c>
      <c r="BF133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98.208000000000013</v>
      </c>
      <c r="BG133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95.039999999999992</v>
      </c>
      <c r="BH133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98.208000000000013</v>
      </c>
      <c r="BI133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95.039999999999992</v>
      </c>
      <c r="BJ133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98.208000000000013</v>
      </c>
      <c r="BK133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98.208000000000013</v>
      </c>
      <c r="BL133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95.039999999999992</v>
      </c>
      <c r="BM133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98.208000000000013</v>
      </c>
      <c r="BN133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95.039999999999992</v>
      </c>
      <c r="BO133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98.208000000000013</v>
      </c>
      <c r="BP1335">
        <f>SUM(Таб[[#This Row],[1]:[12]])</f>
        <v>1156.3200000000002</v>
      </c>
    </row>
    <row r="1336" spans="2:68" ht="25.5">
      <c r="B1336" t="s">
        <v>2715</v>
      </c>
      <c r="C1336" t="str">
        <f>IF(Таб[[#This Row],[Потужність, МВт]]&lt;0.2,"Мікро",IF(Таб[[#This Row],[Потужність, МВт]]&lt;1,"Міні","Мала"))</f>
        <v>Міні</v>
      </c>
      <c r="G1336" s="1" t="s">
        <v>3133</v>
      </c>
      <c r="H1336" t="s">
        <v>233</v>
      </c>
      <c r="I1336" t="s">
        <v>2771</v>
      </c>
      <c r="J1336" s="22">
        <v>0.996</v>
      </c>
      <c r="K1336" s="12"/>
      <c r="L1336" s="12">
        <v>43096</v>
      </c>
      <c r="M1336">
        <v>12</v>
      </c>
      <c r="N1336" s="49" t="s">
        <v>71</v>
      </c>
      <c r="O1336">
        <v>2017</v>
      </c>
      <c r="P1336">
        <v>0.13950000000000001</v>
      </c>
      <c r="Q1336" s="10"/>
      <c r="R1336" s="11">
        <f>ROUND(Таб[[#This Row],[Зелений Тариф ЕЦ]]+Таб[[#This Row],[Зелений Тариф ЕЦ]]*Таб[[#This Row],[% надбавки]],4)</f>
        <v>0.13950000000000001</v>
      </c>
      <c r="S1336" s="12"/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0.46300000000000002</v>
      </c>
      <c r="AF1336">
        <v>0.44600000000000001</v>
      </c>
      <c r="AG1336">
        <v>0.25800000000000001</v>
      </c>
      <c r="AH1336">
        <v>0.38700000000000001</v>
      </c>
      <c r="AI1336">
        <v>0.71599999999999997</v>
      </c>
      <c r="AJ1336">
        <v>0.58099999999999996</v>
      </c>
      <c r="AK1336">
        <v>0.48399999999999999</v>
      </c>
      <c r="AL1336">
        <v>0.44600000000000001</v>
      </c>
      <c r="AM1336">
        <v>0.20699999999999999</v>
      </c>
      <c r="AN1336">
        <v>0.151</v>
      </c>
      <c r="AO1336">
        <v>0.29699999999999999</v>
      </c>
      <c r="AP1336">
        <v>0.20799999999999999</v>
      </c>
      <c r="AQ1336">
        <v>0.115</v>
      </c>
      <c r="AR1336">
        <v>9.8000000000000004E-2</v>
      </c>
      <c r="AS1336">
        <v>0.17699999999999999</v>
      </c>
      <c r="AT1336">
        <v>0.495</v>
      </c>
      <c r="AU1336">
        <v>0.71199999999999997</v>
      </c>
      <c r="AV1336">
        <v>0.72899999999999998</v>
      </c>
      <c r="AW1336">
        <v>0.54300000000000004</v>
      </c>
      <c r="AX1336">
        <v>0.29299999999999998</v>
      </c>
      <c r="AY1336">
        <v>0.28399999999999997</v>
      </c>
      <c r="BD133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244.53792000000001</v>
      </c>
      <c r="BE133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220.87296000000003</v>
      </c>
      <c r="BF133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244.53792000000001</v>
      </c>
      <c r="BG133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236.64960000000002</v>
      </c>
      <c r="BH133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244.53792000000001</v>
      </c>
      <c r="BI133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236.64960000000002</v>
      </c>
      <c r="BJ133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244.53792000000001</v>
      </c>
      <c r="BK133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244.53792000000001</v>
      </c>
      <c r="BL133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236.64960000000002</v>
      </c>
      <c r="BM133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244.53792000000001</v>
      </c>
      <c r="BN133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236.64960000000002</v>
      </c>
      <c r="BO133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244.53792000000001</v>
      </c>
      <c r="BP1336">
        <f>SUM(Таб[[#This Row],[1]:[12]])</f>
        <v>2879.2368000000006</v>
      </c>
    </row>
    <row r="1337" spans="2:68" ht="51">
      <c r="B1337" t="s">
        <v>2715</v>
      </c>
      <c r="C1337" t="str">
        <f>IF(Таб[[#This Row],[Потужність, МВт]]&lt;0.2,"Мікро",IF(Таб[[#This Row],[Потужність, МВт]]&lt;1,"Міні","Мала"))</f>
        <v>Мікро</v>
      </c>
      <c r="D1337" t="s">
        <v>3372</v>
      </c>
      <c r="F1337" t="s">
        <v>3287</v>
      </c>
      <c r="G1337" s="1" t="s">
        <v>3373</v>
      </c>
      <c r="H1337" t="s">
        <v>172</v>
      </c>
      <c r="I1337" t="s">
        <v>951</v>
      </c>
      <c r="J1337" s="22">
        <v>0.16</v>
      </c>
      <c r="K1337" s="12"/>
      <c r="L1337" s="12">
        <v>42198</v>
      </c>
      <c r="M1337">
        <v>7</v>
      </c>
      <c r="N1337" s="49" t="s">
        <v>60</v>
      </c>
      <c r="O1337">
        <v>2015</v>
      </c>
      <c r="P1337">
        <v>0.19389999999999999</v>
      </c>
      <c r="Q1337" s="10"/>
      <c r="R1337" s="11">
        <f>ROUND(Таб[[#This Row],[Зелений Тариф ЕЦ]]+Таб[[#This Row],[Зелений Тариф ЕЦ]]*Таб[[#This Row],[% надбавки]],4)</f>
        <v>0.19389999999999999</v>
      </c>
      <c r="S1337" s="12"/>
      <c r="T1337">
        <v>4.1000000000000002E-2</v>
      </c>
      <c r="U1337">
        <v>6.4000000000000001E-2</v>
      </c>
      <c r="V1337">
        <v>0.184</v>
      </c>
      <c r="W1337">
        <v>0.10600000000000004</v>
      </c>
      <c r="X1337">
        <v>6.4000000000000001E-2</v>
      </c>
      <c r="Y1337">
        <v>5.2999999999999992E-2</v>
      </c>
      <c r="Z1337">
        <v>3.7000000000000033E-2</v>
      </c>
      <c r="AA1337">
        <v>4.2999999999999927E-2</v>
      </c>
      <c r="AB1337">
        <v>3.2000000000000028E-2</v>
      </c>
      <c r="AC1337">
        <v>5.7000000000000051E-2</v>
      </c>
      <c r="AD1337">
        <v>6.3999999999999946E-2</v>
      </c>
      <c r="AE1337">
        <v>6.5000000000000058E-2</v>
      </c>
      <c r="AF1337">
        <v>6.0999999999999999E-2</v>
      </c>
      <c r="AG1337">
        <v>6.2E-2</v>
      </c>
      <c r="AH1337">
        <v>0.161</v>
      </c>
      <c r="AI1337">
        <v>0.14000000000000001</v>
      </c>
      <c r="AJ1337">
        <v>6.0999999999999999E-2</v>
      </c>
      <c r="AK1337">
        <v>5.0999999999999997E-2</v>
      </c>
      <c r="AL1337">
        <v>5.8000000000000003E-2</v>
      </c>
      <c r="AM1337">
        <v>4.5999999999999999E-2</v>
      </c>
      <c r="AN1337">
        <v>2.8000000000000001E-2</v>
      </c>
      <c r="AO1337">
        <v>4.5999999999999999E-2</v>
      </c>
      <c r="AP1337">
        <v>4.2999999999999997E-2</v>
      </c>
      <c r="AQ1337">
        <v>5.3999999999999999E-2</v>
      </c>
      <c r="AR1337">
        <v>6.7000000000000004E-2</v>
      </c>
      <c r="AS1337">
        <v>9.8000000000000004E-2</v>
      </c>
      <c r="AT1337">
        <v>7.0000000000000007E-2</v>
      </c>
      <c r="AU1337">
        <v>5.3999999999999999E-2</v>
      </c>
      <c r="AV1337">
        <v>0.16800000000000001</v>
      </c>
      <c r="AW1337">
        <v>0.11</v>
      </c>
      <c r="AX1337">
        <v>5.5E-2</v>
      </c>
      <c r="AY1337">
        <v>3.5000000000000003E-2</v>
      </c>
      <c r="BD133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39.283200000000008</v>
      </c>
      <c r="BE133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35.4816</v>
      </c>
      <c r="BF133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39.283200000000008</v>
      </c>
      <c r="BG133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38.016000000000005</v>
      </c>
      <c r="BH133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39.283200000000008</v>
      </c>
      <c r="BI133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38.016000000000005</v>
      </c>
      <c r="BJ133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39.283200000000008</v>
      </c>
      <c r="BK133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39.283200000000008</v>
      </c>
      <c r="BL133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38.016000000000005</v>
      </c>
      <c r="BM133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39.283200000000008</v>
      </c>
      <c r="BN133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38.016000000000005</v>
      </c>
      <c r="BO133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39.283200000000008</v>
      </c>
      <c r="BP1337">
        <f>SUM(Таб[[#This Row],[1]:[12]])</f>
        <v>462.52800000000019</v>
      </c>
    </row>
    <row r="1338" spans="2:68" ht="51">
      <c r="B1338" t="s">
        <v>2715</v>
      </c>
      <c r="C1338" t="str">
        <f>IF(Таб[[#This Row],[Потужність, МВт]]&lt;0.2,"Мікро",IF(Таб[[#This Row],[Потужність, МВт]]&lt;1,"Міні","Мала"))</f>
        <v>Мікро</v>
      </c>
      <c r="D1338" t="s">
        <v>3372</v>
      </c>
      <c r="F1338" t="s">
        <v>3287</v>
      </c>
      <c r="G1338" s="1" t="s">
        <v>3373</v>
      </c>
      <c r="H1338" t="s">
        <v>172</v>
      </c>
      <c r="I1338" t="s">
        <v>951</v>
      </c>
      <c r="J1338" s="22">
        <v>0.19900000000000001</v>
      </c>
      <c r="K1338" s="12"/>
      <c r="L1338" s="12">
        <v>42198</v>
      </c>
      <c r="M1338">
        <v>7</v>
      </c>
      <c r="N1338" s="49" t="s">
        <v>60</v>
      </c>
      <c r="O1338">
        <v>2015</v>
      </c>
      <c r="P1338">
        <v>0.19389999999999999</v>
      </c>
      <c r="Q1338" s="10"/>
      <c r="R1338" s="11">
        <f>ROUND(Таб[[#This Row],[Зелений Тариф ЕЦ]]+Таб[[#This Row],[Зелений Тариф ЕЦ]]*Таб[[#This Row],[% надбавки]],4)</f>
        <v>0.19389999999999999</v>
      </c>
      <c r="S1338" s="12"/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BD133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48.858480000000007</v>
      </c>
      <c r="BE133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44.130240000000001</v>
      </c>
      <c r="BF133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48.858480000000007</v>
      </c>
      <c r="BG133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47.282400000000003</v>
      </c>
      <c r="BH133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48.858480000000007</v>
      </c>
      <c r="BI133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47.282400000000003</v>
      </c>
      <c r="BJ133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48.858480000000007</v>
      </c>
      <c r="BK133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48.858480000000007</v>
      </c>
      <c r="BL133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47.282400000000003</v>
      </c>
      <c r="BM133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48.858480000000007</v>
      </c>
      <c r="BN133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47.282400000000003</v>
      </c>
      <c r="BO133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48.858480000000007</v>
      </c>
      <c r="BP1338">
        <f>SUM(Таб[[#This Row],[1]:[12]])</f>
        <v>575.26919999999996</v>
      </c>
    </row>
    <row r="1339" spans="2:68" ht="51">
      <c r="B1339" t="s">
        <v>2715</v>
      </c>
      <c r="C1339" t="str">
        <f>IF(Таб[[#This Row],[Потужність, МВт]]&lt;0.2,"Мікро",IF(Таб[[#This Row],[Потужність, МВт]]&lt;1,"Міні","Мала"))</f>
        <v>Міні</v>
      </c>
      <c r="G1339" s="1" t="s">
        <v>3139</v>
      </c>
      <c r="H1339" t="s">
        <v>176</v>
      </c>
      <c r="I1339" t="s">
        <v>1970</v>
      </c>
      <c r="J1339" s="22">
        <v>0.38200000000000001</v>
      </c>
      <c r="K1339" s="12"/>
      <c r="L1339" s="12">
        <v>43007</v>
      </c>
      <c r="M1339">
        <v>9</v>
      </c>
      <c r="N1339" s="49" t="s">
        <v>60</v>
      </c>
      <c r="O1339">
        <v>2017</v>
      </c>
      <c r="P1339">
        <v>0.13950000000000001</v>
      </c>
      <c r="Q1339" s="10"/>
      <c r="R1339" s="11">
        <f>ROUND(Таб[[#This Row],[Зелений Тариф ЕЦ]]+Таб[[#This Row],[Зелений Тариф ЕЦ]]*Таб[[#This Row],[% надбавки]],4)</f>
        <v>0.13950000000000001</v>
      </c>
      <c r="S1339" s="12"/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5.6000000000000001E-2</v>
      </c>
      <c r="AD1339">
        <v>5.5E-2</v>
      </c>
      <c r="AE1339">
        <v>7.6999999999999999E-2</v>
      </c>
      <c r="AF1339">
        <v>8.4000000000000005E-2</v>
      </c>
      <c r="AG1339">
        <v>7.5999999999999998E-2</v>
      </c>
      <c r="AH1339">
        <v>0.159</v>
      </c>
      <c r="AI1339">
        <v>0.154</v>
      </c>
      <c r="AJ1339">
        <v>3.5000000000000003E-2</v>
      </c>
      <c r="AK1339">
        <v>2.5000000000000001E-2</v>
      </c>
      <c r="AL1339">
        <v>4.1000000000000002E-2</v>
      </c>
      <c r="AM1339">
        <v>2.5000000000000001E-2</v>
      </c>
      <c r="AN1339">
        <v>2.4E-2</v>
      </c>
      <c r="AO1339">
        <v>4.5999999999999999E-2</v>
      </c>
      <c r="AP1339">
        <v>3.4000000000000002E-2</v>
      </c>
      <c r="AQ1339">
        <v>4.5999999999999999E-2</v>
      </c>
      <c r="AR1339">
        <v>7.6999999999999999E-2</v>
      </c>
      <c r="AS1339">
        <v>0.10299999999999999</v>
      </c>
      <c r="AT1339">
        <v>7.0999999999999994E-2</v>
      </c>
      <c r="AU1339">
        <v>4.1000000000000002E-2</v>
      </c>
      <c r="AV1339">
        <v>0.104</v>
      </c>
      <c r="AW1339">
        <v>0.11899999999999999</v>
      </c>
      <c r="AX1339">
        <v>2.3E-2</v>
      </c>
      <c r="AY1339">
        <v>8.9999999999999993E-3</v>
      </c>
      <c r="BD133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93.788640000000015</v>
      </c>
      <c r="BE133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84.712320000000005</v>
      </c>
      <c r="BF133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93.788640000000015</v>
      </c>
      <c r="BG133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90.763199999999998</v>
      </c>
      <c r="BH133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93.788640000000015</v>
      </c>
      <c r="BI133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90.763199999999998</v>
      </c>
      <c r="BJ133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93.788640000000015</v>
      </c>
      <c r="BK133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93.788640000000015</v>
      </c>
      <c r="BL133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90.763199999999998</v>
      </c>
      <c r="BM133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93.788640000000015</v>
      </c>
      <c r="BN133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90.763199999999998</v>
      </c>
      <c r="BO133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93.788640000000015</v>
      </c>
      <c r="BP1339">
        <f>SUM(Таб[[#This Row],[1]:[12]])</f>
        <v>1104.2855999999999</v>
      </c>
    </row>
    <row r="1340" spans="2:68" ht="38.25">
      <c r="B1340" t="s">
        <v>2715</v>
      </c>
      <c r="C1340" t="str">
        <f>IF(Таб[[#This Row],[Потужність, МВт]]&lt;0.2,"Мікро",IF(Таб[[#This Row],[Потужність, МВт]]&lt;1,"Міні","Мала"))</f>
        <v>Міні</v>
      </c>
      <c r="G1340" s="1" t="s">
        <v>3141</v>
      </c>
      <c r="H1340" t="s">
        <v>172</v>
      </c>
      <c r="I1340" t="s">
        <v>2829</v>
      </c>
      <c r="J1340" s="22">
        <v>0.315</v>
      </c>
      <c r="K1340" s="12"/>
      <c r="L1340" s="12">
        <v>42481</v>
      </c>
      <c r="M1340">
        <v>4</v>
      </c>
      <c r="N1340" s="49" t="s">
        <v>57</v>
      </c>
      <c r="O1340">
        <v>2016</v>
      </c>
      <c r="P1340">
        <v>0.13950000000000001</v>
      </c>
      <c r="Q1340" s="10"/>
      <c r="R1340" s="11">
        <f>ROUND(Таб[[#This Row],[Зелений Тариф ЕЦ]]+Таб[[#This Row],[Зелений Тариф ЕЦ]]*Таб[[#This Row],[% надбавки]],4)</f>
        <v>0.13950000000000001</v>
      </c>
      <c r="S1340" s="12"/>
      <c r="T1340">
        <v>2.1999999999999999E-2</v>
      </c>
      <c r="U1340">
        <v>4.1000000000000002E-2</v>
      </c>
      <c r="V1340">
        <v>7.3000000000000009E-2</v>
      </c>
      <c r="W1340">
        <v>3.5999999999999976E-2</v>
      </c>
      <c r="X1340">
        <v>2.8000000000000025E-2</v>
      </c>
      <c r="Y1340">
        <v>1.4999999999999986E-2</v>
      </c>
      <c r="Z1340">
        <v>8.0000000000000071E-3</v>
      </c>
      <c r="AA1340">
        <v>0</v>
      </c>
      <c r="AB1340">
        <v>8.0000000000000071E-3</v>
      </c>
      <c r="AC1340">
        <v>2.7999999999999997E-2</v>
      </c>
      <c r="AD1340">
        <v>3.0999999999999972E-2</v>
      </c>
      <c r="AE1340">
        <v>2.9000000000000026E-2</v>
      </c>
      <c r="AF1340">
        <v>2.9000000000000001E-2</v>
      </c>
      <c r="AG1340">
        <v>2.5000000000000001E-2</v>
      </c>
      <c r="AH1340">
        <v>5.1999999999999998E-2</v>
      </c>
      <c r="AI1340">
        <v>0.04</v>
      </c>
      <c r="AJ1340">
        <v>6.0000000000000001E-3</v>
      </c>
      <c r="AK1340">
        <v>1.2E-2</v>
      </c>
      <c r="AL1340">
        <v>0.03</v>
      </c>
      <c r="AM1340">
        <v>1.6E-2</v>
      </c>
      <c r="AN1340">
        <v>1.4E-2</v>
      </c>
      <c r="AO1340">
        <v>3.1E-2</v>
      </c>
      <c r="AP1340">
        <v>2.1000000000000001E-2</v>
      </c>
      <c r="AQ1340">
        <v>2.1999999999999999E-2</v>
      </c>
      <c r="AR1340">
        <v>0.03</v>
      </c>
      <c r="AS1340">
        <v>3.1E-2</v>
      </c>
      <c r="AT1340">
        <v>2.8000000000000001E-2</v>
      </c>
      <c r="AU1340">
        <v>0.02</v>
      </c>
      <c r="AV1340">
        <v>0.08</v>
      </c>
      <c r="AW1340">
        <v>4.2000000000000003E-2</v>
      </c>
      <c r="AX1340">
        <v>2.1999999999999999E-2</v>
      </c>
      <c r="AY1340">
        <v>1.4999999999999999E-2</v>
      </c>
      <c r="BD134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77.338799999999992</v>
      </c>
      <c r="BE134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69.854399999999998</v>
      </c>
      <c r="BF134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77.338799999999992</v>
      </c>
      <c r="BG134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74.843999999999994</v>
      </c>
      <c r="BH134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77.338799999999992</v>
      </c>
      <c r="BI134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74.843999999999994</v>
      </c>
      <c r="BJ134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77.338799999999992</v>
      </c>
      <c r="BK134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77.338799999999992</v>
      </c>
      <c r="BL134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74.843999999999994</v>
      </c>
      <c r="BM134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77.338799999999992</v>
      </c>
      <c r="BN134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74.843999999999994</v>
      </c>
      <c r="BO134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77.338799999999992</v>
      </c>
      <c r="BP1340">
        <f>SUM(Таб[[#This Row],[1]:[12]])</f>
        <v>910.60200000000009</v>
      </c>
    </row>
    <row r="1341" spans="2:68" ht="38.25">
      <c r="B1341" t="s">
        <v>2715</v>
      </c>
      <c r="C1341" t="str">
        <f>IF(Таб[[#This Row],[Потужність, МВт]]&lt;0.2,"Мікро",IF(Таб[[#This Row],[Потужність, МВт]]&lt;1,"Міні","Мала"))</f>
        <v>Мікро</v>
      </c>
      <c r="G1341" s="1" t="s">
        <v>3144</v>
      </c>
      <c r="H1341" t="s">
        <v>176</v>
      </c>
      <c r="I1341" t="s">
        <v>304</v>
      </c>
      <c r="J1341" s="22">
        <v>0.186</v>
      </c>
      <c r="K1341" s="12"/>
      <c r="L1341" s="12">
        <v>43396</v>
      </c>
      <c r="M1341">
        <v>10</v>
      </c>
      <c r="N1341" s="49" t="s">
        <v>71</v>
      </c>
      <c r="O1341">
        <v>2018</v>
      </c>
      <c r="P1341">
        <v>0.17449999999999999</v>
      </c>
      <c r="Q1341" s="10"/>
      <c r="R1341" s="11">
        <f>ROUND(Таб[[#This Row],[Зелений Тариф ЕЦ]]+Таб[[#This Row],[Зелений Тариф ЕЦ]]*Таб[[#This Row],[% надбавки]],4)</f>
        <v>0.17449999999999999</v>
      </c>
      <c r="S1341" s="12"/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2.1000000000000001E-2</v>
      </c>
      <c r="AQ1341">
        <v>4.2000000000000003E-2</v>
      </c>
      <c r="AR1341">
        <v>5.7000000000000002E-2</v>
      </c>
      <c r="AS1341">
        <v>0.10199999999999999</v>
      </c>
      <c r="AT1341">
        <v>7.8E-2</v>
      </c>
      <c r="AU1341">
        <v>4.8000000000000001E-2</v>
      </c>
      <c r="AV1341">
        <v>8.4000000000000005E-2</v>
      </c>
      <c r="AW1341">
        <v>6.5000000000000002E-2</v>
      </c>
      <c r="AX1341">
        <v>1.2E-2</v>
      </c>
      <c r="AY1341">
        <v>5.0000000000000001E-3</v>
      </c>
      <c r="BD134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45.666720000000005</v>
      </c>
      <c r="BE134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41.24736</v>
      </c>
      <c r="BF134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45.666720000000005</v>
      </c>
      <c r="BG134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44.193600000000004</v>
      </c>
      <c r="BH134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45.666720000000005</v>
      </c>
      <c r="BI134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44.193600000000004</v>
      </c>
      <c r="BJ134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45.666720000000005</v>
      </c>
      <c r="BK134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45.666720000000005</v>
      </c>
      <c r="BL134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44.193600000000004</v>
      </c>
      <c r="BM134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45.666720000000005</v>
      </c>
      <c r="BN134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44.193600000000004</v>
      </c>
      <c r="BO134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45.666720000000005</v>
      </c>
      <c r="BP1341">
        <f>SUM(Таб[[#This Row],[1]:[12]])</f>
        <v>537.68880000000001</v>
      </c>
    </row>
    <row r="1342" spans="2:68" ht="25.5">
      <c r="B1342" t="s">
        <v>2715</v>
      </c>
      <c r="C1342" t="str">
        <f>IF(Таб[[#This Row],[Потужність, МВт]]&lt;0.2,"Мікро",IF(Таб[[#This Row],[Потужність, МВт]]&lt;1,"Міні","Мала"))</f>
        <v>Міні</v>
      </c>
      <c r="G1342" s="1" t="s">
        <v>3146</v>
      </c>
      <c r="H1342" t="s">
        <v>172</v>
      </c>
      <c r="I1342" t="s">
        <v>1935</v>
      </c>
      <c r="J1342" s="22">
        <v>0.5</v>
      </c>
      <c r="K1342" s="12"/>
      <c r="L1342" s="12">
        <v>42773</v>
      </c>
      <c r="M1342">
        <v>2</v>
      </c>
      <c r="N1342" s="49" t="s">
        <v>67</v>
      </c>
      <c r="O1342">
        <v>2017</v>
      </c>
      <c r="P1342">
        <v>0.1163</v>
      </c>
      <c r="Q1342" s="10"/>
      <c r="R1342" s="11">
        <f>ROUND(Таб[[#This Row],[Зелений Тариф ЕЦ]]+Таб[[#This Row],[Зелений Тариф ЕЦ]]*Таб[[#This Row],[% надбавки]],4)</f>
        <v>0.1163</v>
      </c>
      <c r="S1342" s="12"/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0.12</v>
      </c>
      <c r="AG1342">
        <v>0.11</v>
      </c>
      <c r="AH1342">
        <v>0.13500000000000001</v>
      </c>
      <c r="AI1342">
        <v>0.153</v>
      </c>
      <c r="AJ1342">
        <v>0.13200000000000001</v>
      </c>
      <c r="AK1342">
        <v>6.8000000000000005E-2</v>
      </c>
      <c r="AL1342">
        <v>0.14799999999999999</v>
      </c>
      <c r="AM1342">
        <v>7.0999999999999994E-2</v>
      </c>
      <c r="AN1342">
        <v>7.0999999999999994E-2</v>
      </c>
      <c r="AO1342">
        <v>7.1999999999999995E-2</v>
      </c>
      <c r="AP1342">
        <v>9.7000000000000003E-2</v>
      </c>
      <c r="AQ1342">
        <v>0.109</v>
      </c>
      <c r="AR1342">
        <v>0.11799999999999999</v>
      </c>
      <c r="AS1342">
        <v>0.13100000000000001</v>
      </c>
      <c r="AT1342">
        <v>0.11700000000000001</v>
      </c>
      <c r="AU1342">
        <v>8.3000000000000004E-2</v>
      </c>
      <c r="AV1342">
        <v>0.20799999999999999</v>
      </c>
      <c r="AW1342">
        <v>0.14899999999999999</v>
      </c>
      <c r="AX1342">
        <v>7.8E-2</v>
      </c>
      <c r="AY1342">
        <v>5.1999999999999998E-2</v>
      </c>
      <c r="BD134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122.76</v>
      </c>
      <c r="BE134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110.88</v>
      </c>
      <c r="BF134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122.76</v>
      </c>
      <c r="BG134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118.80000000000001</v>
      </c>
      <c r="BH134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122.76</v>
      </c>
      <c r="BI134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118.80000000000001</v>
      </c>
      <c r="BJ134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122.76</v>
      </c>
      <c r="BK134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122.76</v>
      </c>
      <c r="BL134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118.80000000000001</v>
      </c>
      <c r="BM134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122.76</v>
      </c>
      <c r="BN134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118.80000000000001</v>
      </c>
      <c r="BO134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122.76</v>
      </c>
      <c r="BP1342">
        <f>SUM(Таб[[#This Row],[1]:[12]])</f>
        <v>1445.3999999999999</v>
      </c>
    </row>
    <row r="1343" spans="2:68" ht="25.5">
      <c r="B1343" t="s">
        <v>2715</v>
      </c>
      <c r="C1343" t="str">
        <f>IF(Таб[[#This Row],[Потужність, МВт]]&lt;0.2,"Мікро",IF(Таб[[#This Row],[Потужність, МВт]]&lt;1,"Міні","Мала"))</f>
        <v>Міні</v>
      </c>
      <c r="G1343" s="1" t="s">
        <v>3146</v>
      </c>
      <c r="H1343" t="s">
        <v>172</v>
      </c>
      <c r="I1343" t="s">
        <v>3150</v>
      </c>
      <c r="J1343" s="22">
        <v>0.8</v>
      </c>
      <c r="K1343" s="12"/>
      <c r="L1343" s="12">
        <v>43564</v>
      </c>
      <c r="M1343">
        <v>4</v>
      </c>
      <c r="N1343" s="49" t="s">
        <v>57</v>
      </c>
      <c r="O1343">
        <v>2019</v>
      </c>
      <c r="P1343">
        <v>0.1163</v>
      </c>
      <c r="Q1343" s="10"/>
      <c r="R1343" s="11">
        <f>ROUND(Таб[[#This Row],[Зелений Тариф ЕЦ]]+Таб[[#This Row],[Зелений Тариф ЕЦ]]*Таб[[#This Row],[% надбавки]],4)</f>
        <v>0.1163</v>
      </c>
      <c r="S1343" s="12"/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R1343">
        <v>0</v>
      </c>
      <c r="AS1343">
        <v>0</v>
      </c>
      <c r="AT1343">
        <v>0</v>
      </c>
      <c r="AU1343">
        <v>0</v>
      </c>
      <c r="AV1343">
        <v>0.28499999999999998</v>
      </c>
      <c r="AW1343">
        <v>0.2</v>
      </c>
      <c r="AX1343">
        <v>0.2</v>
      </c>
      <c r="AY1343">
        <v>0.11</v>
      </c>
      <c r="BD134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196.41600000000003</v>
      </c>
      <c r="BE134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177.40800000000002</v>
      </c>
      <c r="BF134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196.41600000000003</v>
      </c>
      <c r="BG134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190.07999999999998</v>
      </c>
      <c r="BH134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196.41600000000003</v>
      </c>
      <c r="BI134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190.07999999999998</v>
      </c>
      <c r="BJ134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196.41600000000003</v>
      </c>
      <c r="BK134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196.41600000000003</v>
      </c>
      <c r="BL134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190.07999999999998</v>
      </c>
      <c r="BM134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196.41600000000003</v>
      </c>
      <c r="BN134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190.07999999999998</v>
      </c>
      <c r="BO134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196.41600000000003</v>
      </c>
      <c r="BP1343">
        <f>SUM(Таб[[#This Row],[1]:[12]])</f>
        <v>2312.6400000000003</v>
      </c>
    </row>
    <row r="1344" spans="2:68" ht="38.25">
      <c r="B1344" t="s">
        <v>2715</v>
      </c>
      <c r="C1344" t="str">
        <f>IF(Таб[[#This Row],[Потужність, МВт]]&lt;0.2,"Мікро",IF(Таб[[#This Row],[Потужність, МВт]]&lt;1,"Міні","Мала"))</f>
        <v>Мікро</v>
      </c>
      <c r="G1344" s="1" t="s">
        <v>3152</v>
      </c>
      <c r="H1344"/>
      <c r="J1344" s="22"/>
      <c r="K1344" s="12"/>
      <c r="L1344" s="12"/>
      <c r="N1344" s="49"/>
      <c r="P1344">
        <v>0</v>
      </c>
      <c r="Q1344" s="10"/>
      <c r="R1344" s="11">
        <f>ROUND(Таб[[#This Row],[Зелений Тариф ЕЦ]]+Таб[[#This Row],[Зелений Тариф ЕЦ]]*Таб[[#This Row],[% надбавки]],4)</f>
        <v>0</v>
      </c>
      <c r="S1344" s="12"/>
      <c r="T1344">
        <v>0.18099999999999999</v>
      </c>
      <c r="U1344">
        <v>0.16799999999999998</v>
      </c>
      <c r="V1344">
        <v>0.122</v>
      </c>
      <c r="W1344">
        <v>0.17300000000000004</v>
      </c>
      <c r="X1344">
        <v>0.18399999999999994</v>
      </c>
      <c r="Y1344">
        <v>0.11699999999999999</v>
      </c>
      <c r="Z1344">
        <v>7.1999999999999953E-2</v>
      </c>
      <c r="AA1344">
        <v>7.3000000000000176E-2</v>
      </c>
      <c r="AB1344">
        <v>0.125</v>
      </c>
      <c r="AC1344">
        <v>0.21399999999999997</v>
      </c>
      <c r="AD1344">
        <v>0.246</v>
      </c>
      <c r="AE1344">
        <v>0.22699999999999987</v>
      </c>
      <c r="AF1344">
        <v>0.21099999999999999</v>
      </c>
      <c r="AG1344">
        <v>0.21099999999999999</v>
      </c>
      <c r="AH1344">
        <v>0.26200000000000001</v>
      </c>
      <c r="AI1344">
        <v>1.4999999999999999E-2</v>
      </c>
      <c r="AJ1344">
        <v>0.13500000000000001</v>
      </c>
      <c r="AK1344">
        <v>0.17899999999999999</v>
      </c>
      <c r="AL1344">
        <v>0.189</v>
      </c>
      <c r="AM1344">
        <v>0.255</v>
      </c>
      <c r="AN1344">
        <v>0.191</v>
      </c>
      <c r="AO1344">
        <v>0.23899999999999999</v>
      </c>
      <c r="AP1344">
        <v>0.26400000000000001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BD134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34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34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34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34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34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34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34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34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34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34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34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344">
        <f>SUM(Таб[[#This Row],[1]:[12]])</f>
        <v>0</v>
      </c>
    </row>
    <row r="1345" spans="2:68" ht="38.25">
      <c r="B1345" t="s">
        <v>2715</v>
      </c>
      <c r="C1345" t="str">
        <f>IF(Таб[[#This Row],[Потужність, МВт]]&lt;0.2,"Мікро",IF(Таб[[#This Row],[Потужність, МВт]]&lt;1,"Міні","Мала"))</f>
        <v>Мікро</v>
      </c>
      <c r="G1345" s="1" t="s">
        <v>3152</v>
      </c>
      <c r="H1345"/>
      <c r="J1345" s="22"/>
      <c r="K1345" s="12"/>
      <c r="L1345" s="12"/>
      <c r="N1345" s="49"/>
      <c r="P1345">
        <v>0</v>
      </c>
      <c r="Q1345" s="10"/>
      <c r="R1345" s="11">
        <f>ROUND(Таб[[#This Row],[Зелений Тариф ЕЦ]]+Таб[[#This Row],[Зелений Тариф ЕЦ]]*Таб[[#This Row],[% надбавки]],4)</f>
        <v>0</v>
      </c>
      <c r="S1345" s="12"/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BD134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34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34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34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34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34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34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34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34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34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34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34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345">
        <f>SUM(Таб[[#This Row],[1]:[12]])</f>
        <v>0</v>
      </c>
    </row>
    <row r="1346" spans="2:68" ht="25.5">
      <c r="B1346" t="s">
        <v>2715</v>
      </c>
      <c r="C1346" t="str">
        <f>IF(Таб[[#This Row],[Потужність, МВт]]&lt;0.2,"Мікро",IF(Таб[[#This Row],[Потужність, МВт]]&lt;1,"Міні","Мала"))</f>
        <v>Міні</v>
      </c>
      <c r="G1346" s="1" t="s">
        <v>3153</v>
      </c>
      <c r="H1346" t="s">
        <v>62</v>
      </c>
      <c r="J1346" s="22">
        <v>0.32500000000000001</v>
      </c>
      <c r="K1346" s="12"/>
      <c r="L1346" s="12">
        <v>40575</v>
      </c>
      <c r="M1346">
        <v>2</v>
      </c>
      <c r="N1346" s="49" t="s">
        <v>67</v>
      </c>
      <c r="O1346">
        <v>2011</v>
      </c>
      <c r="P1346">
        <v>0.1163</v>
      </c>
      <c r="Q1346" s="10"/>
      <c r="R1346" s="11">
        <f>ROUND(Таб[[#This Row],[Зелений Тариф ЕЦ]]+Таб[[#This Row],[Зелений Тариф ЕЦ]]*Таб[[#This Row],[% надбавки]],4)</f>
        <v>0.1163</v>
      </c>
      <c r="S1346" s="12"/>
      <c r="T1346">
        <v>2.1000000000000001E-2</v>
      </c>
      <c r="U1346">
        <v>3.2000000000000001E-2</v>
      </c>
      <c r="V1346">
        <v>7.2000000000000008E-2</v>
      </c>
      <c r="W1346">
        <v>4.0000000000000008E-2</v>
      </c>
      <c r="X1346">
        <v>3.6000000000000004E-2</v>
      </c>
      <c r="Y1346">
        <v>2.4999999999999994E-2</v>
      </c>
      <c r="Z1346">
        <v>2.2999999999999993E-2</v>
      </c>
      <c r="AA1346">
        <v>2.4000000000000021E-2</v>
      </c>
      <c r="AB1346">
        <v>2.3999999999999966E-2</v>
      </c>
      <c r="AC1346">
        <v>3.2000000000000028E-2</v>
      </c>
      <c r="AD1346">
        <v>1.9999999999999962E-2</v>
      </c>
      <c r="AE1346">
        <v>2.5000000000000022E-2</v>
      </c>
      <c r="AF1346">
        <v>2.9000000000000001E-2</v>
      </c>
      <c r="AG1346">
        <v>2.5999999999999999E-2</v>
      </c>
      <c r="AH1346">
        <v>6.0999999999999999E-2</v>
      </c>
      <c r="AI1346">
        <v>6.9000000000000006E-2</v>
      </c>
      <c r="AJ1346">
        <v>4.1000000000000002E-2</v>
      </c>
      <c r="AK1346">
        <v>2.9000000000000001E-2</v>
      </c>
      <c r="AL1346">
        <v>3.6999999999999998E-2</v>
      </c>
      <c r="AM1346">
        <v>5.6000000000000001E-2</v>
      </c>
      <c r="AN1346">
        <v>4.7E-2</v>
      </c>
      <c r="AO1346">
        <v>0.05</v>
      </c>
      <c r="AP1346">
        <v>2.9000000000000001E-2</v>
      </c>
      <c r="AQ1346">
        <v>3.2000000000000001E-2</v>
      </c>
      <c r="AR1346">
        <v>5.5E-2</v>
      </c>
      <c r="AS1346">
        <v>5.0999999999999997E-2</v>
      </c>
      <c r="AT1346">
        <v>6.5000000000000002E-2</v>
      </c>
      <c r="AU1346">
        <v>4.9000000000000002E-2</v>
      </c>
      <c r="AV1346">
        <v>8.1000000000000003E-2</v>
      </c>
      <c r="AW1346">
        <v>7.0000000000000007E-2</v>
      </c>
      <c r="AX1346">
        <v>4.9000000000000002E-2</v>
      </c>
      <c r="AY1346">
        <v>4.3999999999999997E-2</v>
      </c>
      <c r="BD134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79.794000000000011</v>
      </c>
      <c r="BE134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72.072000000000003</v>
      </c>
      <c r="BF134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79.794000000000011</v>
      </c>
      <c r="BG134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77.22</v>
      </c>
      <c r="BH134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79.794000000000011</v>
      </c>
      <c r="BI134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77.22</v>
      </c>
      <c r="BJ134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79.794000000000011</v>
      </c>
      <c r="BK134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79.794000000000011</v>
      </c>
      <c r="BL134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77.22</v>
      </c>
      <c r="BM134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79.794000000000011</v>
      </c>
      <c r="BN134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77.22</v>
      </c>
      <c r="BO134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79.794000000000011</v>
      </c>
      <c r="BP1346">
        <f>SUM(Таб[[#This Row],[1]:[12]])</f>
        <v>939.51</v>
      </c>
    </row>
    <row r="1347" spans="2:68" ht="76.5">
      <c r="B1347" t="s">
        <v>2715</v>
      </c>
      <c r="C1347" t="str">
        <f>IF(Таб[[#This Row],[Потужність, МВт]]&lt;0.2,"Мікро",IF(Таб[[#This Row],[Потужність, МВт]]&lt;1,"Міні","Мала"))</f>
        <v>Мікро</v>
      </c>
      <c r="G1347" s="1" t="s">
        <v>3156</v>
      </c>
      <c r="H1347" t="s">
        <v>176</v>
      </c>
      <c r="I1347" t="s">
        <v>3158</v>
      </c>
      <c r="J1347" s="22">
        <v>0.15</v>
      </c>
      <c r="K1347" s="12"/>
      <c r="L1347" s="12">
        <v>40969</v>
      </c>
      <c r="M1347">
        <v>3</v>
      </c>
      <c r="N1347" s="49" t="s">
        <v>67</v>
      </c>
      <c r="O1347">
        <v>2012</v>
      </c>
      <c r="P1347">
        <v>0.1163</v>
      </c>
      <c r="Q1347" s="10"/>
      <c r="R1347" s="11">
        <f>ROUND(Таб[[#This Row],[Зелений Тариф ЕЦ]]+Таб[[#This Row],[Зелений Тариф ЕЦ]]*Таб[[#This Row],[% надбавки]],4)</f>
        <v>0.1163</v>
      </c>
      <c r="S1347" s="12"/>
      <c r="T1347">
        <v>3.5000000000000003E-2</v>
      </c>
      <c r="U1347">
        <v>5.8999999999999997E-2</v>
      </c>
      <c r="V1347">
        <v>0.253</v>
      </c>
      <c r="W1347">
        <v>0.17000000000000004</v>
      </c>
      <c r="X1347">
        <v>5.699999999999994E-2</v>
      </c>
      <c r="Y1347">
        <v>2.5000000000000022E-2</v>
      </c>
      <c r="Z1347">
        <v>1.2000000000000011E-2</v>
      </c>
      <c r="AA1347">
        <v>5.0000000000000044E-3</v>
      </c>
      <c r="AB1347">
        <v>1.8000000000000016E-2</v>
      </c>
      <c r="AC1347">
        <v>3.2000000000000028E-2</v>
      </c>
      <c r="AD1347">
        <v>3.2999999999999918E-2</v>
      </c>
      <c r="AE1347">
        <v>9.2000000000000082E-2</v>
      </c>
      <c r="AF1347">
        <v>0.16800000000000001</v>
      </c>
      <c r="AG1347">
        <v>0.151</v>
      </c>
      <c r="AH1347">
        <v>0.20499999999999999</v>
      </c>
      <c r="AI1347">
        <v>0.21</v>
      </c>
      <c r="AJ1347">
        <v>6.0999999999999999E-2</v>
      </c>
      <c r="AK1347">
        <v>2.4E-2</v>
      </c>
      <c r="AL1347">
        <v>4.3999999999999997E-2</v>
      </c>
      <c r="AM1347">
        <v>4.2999999999999997E-2</v>
      </c>
      <c r="AN1347">
        <v>1.7000000000000001E-2</v>
      </c>
      <c r="AO1347">
        <v>3.1E-2</v>
      </c>
      <c r="AP1347">
        <v>4.3999999999999997E-2</v>
      </c>
      <c r="AQ1347">
        <v>0.05</v>
      </c>
      <c r="AR1347">
        <v>7.3999999999999996E-2</v>
      </c>
      <c r="AS1347">
        <v>0.13700000000000001</v>
      </c>
      <c r="AT1347">
        <v>0.11700000000000001</v>
      </c>
      <c r="AU1347">
        <v>6.7000000000000004E-2</v>
      </c>
      <c r="AV1347">
        <v>0.186</v>
      </c>
      <c r="AW1347">
        <v>0.153</v>
      </c>
      <c r="AX1347">
        <v>3.2000000000000001E-2</v>
      </c>
      <c r="AY1347">
        <v>1.9E-2</v>
      </c>
      <c r="BD134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36.828000000000003</v>
      </c>
      <c r="BE134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33.264000000000003</v>
      </c>
      <c r="BF134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36.828000000000003</v>
      </c>
      <c r="BG134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35.64</v>
      </c>
      <c r="BH134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36.828000000000003</v>
      </c>
      <c r="BI134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35.64</v>
      </c>
      <c r="BJ134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36.828000000000003</v>
      </c>
      <c r="BK134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36.828000000000003</v>
      </c>
      <c r="BL134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35.64</v>
      </c>
      <c r="BM134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36.828000000000003</v>
      </c>
      <c r="BN134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35.64</v>
      </c>
      <c r="BO134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36.828000000000003</v>
      </c>
      <c r="BP1347">
        <f>SUM(Таб[[#This Row],[1]:[12]])</f>
        <v>433.62</v>
      </c>
    </row>
    <row r="1348" spans="2:68" ht="76.5">
      <c r="B1348" t="s">
        <v>2715</v>
      </c>
      <c r="C1348" t="str">
        <f>IF(Таб[[#This Row],[Потужність, МВт]]&lt;0.2,"Мікро",IF(Таб[[#This Row],[Потужність, МВт]]&lt;1,"Міні","Мала"))</f>
        <v>Міні</v>
      </c>
      <c r="G1348" s="1" t="s">
        <v>3156</v>
      </c>
      <c r="H1348" t="s">
        <v>176</v>
      </c>
      <c r="I1348" t="s">
        <v>3161</v>
      </c>
      <c r="J1348" s="22">
        <v>0.25</v>
      </c>
      <c r="K1348" s="8"/>
      <c r="L1348" s="12">
        <v>40299</v>
      </c>
      <c r="M1348">
        <v>5</v>
      </c>
      <c r="N1348" s="49" t="s">
        <v>57</v>
      </c>
      <c r="O1348">
        <v>2010</v>
      </c>
      <c r="P1348">
        <v>0.1163</v>
      </c>
      <c r="Q1348" s="10"/>
      <c r="R1348" s="11">
        <f>ROUND(Таб[[#This Row],[Зелений Тариф ЕЦ]]+Таб[[#This Row],[Зелений Тариф ЕЦ]]*Таб[[#This Row],[% надбавки]],4)</f>
        <v>0.1163</v>
      </c>
      <c r="S1348" s="12"/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BD134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61.38</v>
      </c>
      <c r="BE134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55.44</v>
      </c>
      <c r="BF134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61.38</v>
      </c>
      <c r="BG134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59.400000000000006</v>
      </c>
      <c r="BH134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61.38</v>
      </c>
      <c r="BI134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59.400000000000006</v>
      </c>
      <c r="BJ134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61.38</v>
      </c>
      <c r="BK134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61.38</v>
      </c>
      <c r="BL134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59.400000000000006</v>
      </c>
      <c r="BM134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61.38</v>
      </c>
      <c r="BN134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59.400000000000006</v>
      </c>
      <c r="BO134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61.38</v>
      </c>
      <c r="BP1348">
        <f>SUM(Таб[[#This Row],[1]:[12]])</f>
        <v>722.69999999999993</v>
      </c>
    </row>
    <row r="1349" spans="2:68" ht="76.5">
      <c r="B1349" t="s">
        <v>2715</v>
      </c>
      <c r="C1349" t="str">
        <f>IF(Таб[[#This Row],[Потужність, МВт]]&lt;0.2,"Мікро",IF(Таб[[#This Row],[Потужність, МВт]]&lt;1,"Міні","Мала"))</f>
        <v>Мікро</v>
      </c>
      <c r="G1349" s="1" t="s">
        <v>3156</v>
      </c>
      <c r="H1349" t="s">
        <v>176</v>
      </c>
      <c r="I1349" t="s">
        <v>304</v>
      </c>
      <c r="J1349" s="22">
        <v>0.15</v>
      </c>
      <c r="K1349" s="8"/>
      <c r="L1349" s="12">
        <v>40640</v>
      </c>
      <c r="M1349">
        <v>4</v>
      </c>
      <c r="N1349" s="49" t="s">
        <v>57</v>
      </c>
      <c r="O1349">
        <v>2011</v>
      </c>
      <c r="P1349">
        <v>0.1163</v>
      </c>
      <c r="Q1349" s="10"/>
      <c r="R1349" s="11">
        <f>ROUND(Таб[[#This Row],[Зелений Тариф ЕЦ]]+Таб[[#This Row],[Зелений Тариф ЕЦ]]*Таб[[#This Row],[% надбавки]],4)</f>
        <v>0.1163</v>
      </c>
      <c r="S1349" s="12"/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BD134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36.828000000000003</v>
      </c>
      <c r="BE134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33.264000000000003</v>
      </c>
      <c r="BF134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36.828000000000003</v>
      </c>
      <c r="BG134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35.64</v>
      </c>
      <c r="BH134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36.828000000000003</v>
      </c>
      <c r="BI134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35.64</v>
      </c>
      <c r="BJ134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36.828000000000003</v>
      </c>
      <c r="BK134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36.828000000000003</v>
      </c>
      <c r="BL134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35.64</v>
      </c>
      <c r="BM134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36.828000000000003</v>
      </c>
      <c r="BN134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35.64</v>
      </c>
      <c r="BO134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36.828000000000003</v>
      </c>
      <c r="BP1349">
        <f>SUM(Таб[[#This Row],[1]:[12]])</f>
        <v>433.62</v>
      </c>
    </row>
    <row r="1350" spans="2:68" ht="38.25">
      <c r="B1350" t="s">
        <v>2715</v>
      </c>
      <c r="C1350" t="str">
        <f>IF(Таб[[#This Row],[Потужність, МВт]]&lt;0.2,"Мікро",IF(Таб[[#This Row],[Потужність, МВт]]&lt;1,"Міні","Мала"))</f>
        <v>Мікро</v>
      </c>
      <c r="G1350" s="1" t="s">
        <v>3165</v>
      </c>
      <c r="H1350" t="s">
        <v>198</v>
      </c>
      <c r="I1350" t="s">
        <v>653</v>
      </c>
      <c r="J1350" s="22">
        <v>0.18</v>
      </c>
      <c r="K1350" s="8"/>
      <c r="L1350" s="12">
        <v>42880</v>
      </c>
      <c r="M1350">
        <v>5</v>
      </c>
      <c r="N1350" s="49" t="s">
        <v>57</v>
      </c>
      <c r="O1350">
        <v>2017</v>
      </c>
      <c r="P1350">
        <v>0.17449999999999999</v>
      </c>
      <c r="Q1350" s="10">
        <v>0.1</v>
      </c>
      <c r="R1350" s="11">
        <f>ROUND(Таб[[#This Row],[Зелений Тариф ЕЦ]]+Таб[[#This Row],[Зелений Тариф ЕЦ]]*Таб[[#This Row],[% надбавки]],4)</f>
        <v>0.192</v>
      </c>
      <c r="S1350" s="12">
        <v>43025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2.8000000000000001E-2</v>
      </c>
      <c r="AA1350">
        <v>1.5999999999999997E-2</v>
      </c>
      <c r="AB1350">
        <v>3.3000000000000002E-2</v>
      </c>
      <c r="AC1350">
        <v>4.3999999999999997E-2</v>
      </c>
      <c r="AD1350">
        <v>3.7000000000000005E-2</v>
      </c>
      <c r="AE1350">
        <v>5.5999999999999994E-2</v>
      </c>
      <c r="AF1350">
        <v>4.4999999999999998E-2</v>
      </c>
      <c r="AG1350">
        <v>4.1000000000000002E-2</v>
      </c>
      <c r="AH1350">
        <v>6.9000000000000006E-2</v>
      </c>
      <c r="AI1350">
        <v>7.0999999999999994E-2</v>
      </c>
      <c r="AJ1350">
        <v>3.2000000000000001E-2</v>
      </c>
      <c r="AK1350">
        <v>2.3E-2</v>
      </c>
      <c r="AL1350">
        <v>3.5999999999999997E-2</v>
      </c>
      <c r="AM1350">
        <v>1.4E-2</v>
      </c>
      <c r="AN1350">
        <v>3.5000000000000003E-2</v>
      </c>
      <c r="AO1350">
        <v>4.4999999999999998E-2</v>
      </c>
      <c r="AP1350">
        <v>3.5999999999999997E-2</v>
      </c>
      <c r="AQ1350">
        <v>4.7E-2</v>
      </c>
      <c r="AR1350">
        <v>5.3999999999999999E-2</v>
      </c>
      <c r="AS1350">
        <v>5.8000000000000003E-2</v>
      </c>
      <c r="AT1350">
        <v>4.3999999999999997E-2</v>
      </c>
      <c r="AU1350">
        <v>4.1000000000000002E-2</v>
      </c>
      <c r="AV1350">
        <v>6.3E-2</v>
      </c>
      <c r="AW1350">
        <v>7.0999999999999994E-2</v>
      </c>
      <c r="AX1350">
        <v>3.7999999999999999E-2</v>
      </c>
      <c r="AY1350">
        <v>1.9E-2</v>
      </c>
      <c r="BD135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44.193600000000004</v>
      </c>
      <c r="BE135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39.916800000000002</v>
      </c>
      <c r="BF135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44.193600000000004</v>
      </c>
      <c r="BG135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42.768000000000001</v>
      </c>
      <c r="BH135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44.193600000000004</v>
      </c>
      <c r="BI135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42.768000000000001</v>
      </c>
      <c r="BJ135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44.193600000000004</v>
      </c>
      <c r="BK135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44.193600000000004</v>
      </c>
      <c r="BL135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42.768000000000001</v>
      </c>
      <c r="BM135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44.193600000000004</v>
      </c>
      <c r="BN135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42.768000000000001</v>
      </c>
      <c r="BO135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44.193600000000004</v>
      </c>
      <c r="BP1350">
        <f>SUM(Таб[[#This Row],[1]:[12]])</f>
        <v>520.34400000000005</v>
      </c>
    </row>
    <row r="1351" spans="2:68" ht="38.25">
      <c r="B1351" t="s">
        <v>2715</v>
      </c>
      <c r="C1351" t="str">
        <f>IF(Таб[[#This Row],[Потужність, МВт]]&lt;0.2,"Мікро",IF(Таб[[#This Row],[Потужність, МВт]]&lt;1,"Міні","Мала"))</f>
        <v>Мала</v>
      </c>
      <c r="G1351" s="1" t="s">
        <v>3168</v>
      </c>
      <c r="H1351" t="s">
        <v>233</v>
      </c>
      <c r="I1351" t="s">
        <v>2771</v>
      </c>
      <c r="J1351" s="22">
        <v>1.1599999999999999</v>
      </c>
      <c r="K1351" s="8"/>
      <c r="L1351" s="12">
        <v>40640</v>
      </c>
      <c r="M1351">
        <v>4</v>
      </c>
      <c r="N1351" s="49" t="s">
        <v>57</v>
      </c>
      <c r="O1351">
        <v>2011</v>
      </c>
      <c r="P1351">
        <v>0.1163</v>
      </c>
      <c r="Q1351" s="10"/>
      <c r="R1351" s="11">
        <f>ROUND(Таб[[#This Row],[Зелений Тариф ЕЦ]]+Таб[[#This Row],[Зелений Тариф ЕЦ]]*Таб[[#This Row],[% надбавки]],4)</f>
        <v>0.1163</v>
      </c>
      <c r="S1351" s="12"/>
      <c r="T1351">
        <v>4.4999999999999998E-2</v>
      </c>
      <c r="U1351">
        <v>0.36399999999999999</v>
      </c>
      <c r="V1351">
        <v>0.59899999999999998</v>
      </c>
      <c r="W1351">
        <v>0.47</v>
      </c>
      <c r="X1351">
        <v>0.3580000000000001</v>
      </c>
      <c r="Y1351">
        <v>0.29699999999999993</v>
      </c>
      <c r="Z1351">
        <v>0.19799999999999995</v>
      </c>
      <c r="AA1351">
        <v>1.0000000000000231E-2</v>
      </c>
      <c r="AB1351">
        <v>0.16199999999999992</v>
      </c>
      <c r="AC1351">
        <v>0.17099999999999982</v>
      </c>
      <c r="AD1351">
        <v>0.52700000000000014</v>
      </c>
      <c r="AE1351">
        <v>0.5259999999999998</v>
      </c>
      <c r="AF1351">
        <v>0.40300000000000002</v>
      </c>
      <c r="AG1351">
        <v>0.26400000000000001</v>
      </c>
      <c r="AH1351">
        <v>0.44700000000000001</v>
      </c>
      <c r="AI1351">
        <v>0.55900000000000005</v>
      </c>
      <c r="AJ1351">
        <v>0.23699999999999999</v>
      </c>
      <c r="AK1351">
        <v>0.21299999999999999</v>
      </c>
      <c r="AL1351">
        <v>0.111</v>
      </c>
      <c r="AM1351">
        <v>1.2E-2</v>
      </c>
      <c r="AN1351">
        <v>2.1000000000000001E-2</v>
      </c>
      <c r="AO1351">
        <v>0.114</v>
      </c>
      <c r="AP1351">
        <v>7.4999999999999997E-2</v>
      </c>
      <c r="AQ1351">
        <v>0.12</v>
      </c>
      <c r="AR1351">
        <v>0.125</v>
      </c>
      <c r="AS1351">
        <v>0.26500000000000001</v>
      </c>
      <c r="AT1351">
        <v>0.55600000000000005</v>
      </c>
      <c r="AU1351">
        <v>0.46</v>
      </c>
      <c r="AV1351">
        <v>0.43</v>
      </c>
      <c r="AW1351">
        <v>0.26200000000000001</v>
      </c>
      <c r="AX1351">
        <v>0.10199999999999999</v>
      </c>
      <c r="AY1351">
        <v>9.5000000000000001E-2</v>
      </c>
      <c r="BD135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284.8032</v>
      </c>
      <c r="BE135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257.24159999999995</v>
      </c>
      <c r="BF135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284.8032</v>
      </c>
      <c r="BG135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275.61599999999999</v>
      </c>
      <c r="BH135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284.8032</v>
      </c>
      <c r="BI135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275.61599999999999</v>
      </c>
      <c r="BJ135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284.8032</v>
      </c>
      <c r="BK135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284.8032</v>
      </c>
      <c r="BL135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275.61599999999999</v>
      </c>
      <c r="BM135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284.8032</v>
      </c>
      <c r="BN135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275.61599999999999</v>
      </c>
      <c r="BO135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284.8032</v>
      </c>
      <c r="BP1351">
        <f>SUM(Таб[[#This Row],[1]:[12]])</f>
        <v>3353.3279999999995</v>
      </c>
    </row>
    <row r="1352" spans="2:68" ht="38.25">
      <c r="B1352" t="s">
        <v>2715</v>
      </c>
      <c r="C1352" t="str">
        <f>IF(Таб[[#This Row],[Потужність, МВт]]&lt;0.2,"Мікро",IF(Таб[[#This Row],[Потужність, МВт]]&lt;1,"Міні","Мала"))</f>
        <v>Мікро</v>
      </c>
      <c r="G1352" s="1" t="s">
        <v>3170</v>
      </c>
      <c r="H1352" t="s">
        <v>172</v>
      </c>
      <c r="J1352" s="22">
        <v>0.19700000000000001</v>
      </c>
      <c r="K1352" s="8"/>
      <c r="L1352" s="12">
        <v>41998</v>
      </c>
      <c r="M1352">
        <v>12</v>
      </c>
      <c r="N1352" s="49" t="s">
        <v>71</v>
      </c>
      <c r="O1352">
        <v>2014</v>
      </c>
      <c r="P1352">
        <v>0.19389999999999999</v>
      </c>
      <c r="Q1352" s="10"/>
      <c r="R1352" s="11">
        <f>ROUND(Таб[[#This Row],[Зелений Тариф ЕЦ]]+Таб[[#This Row],[Зелений Тариф ЕЦ]]*Таб[[#This Row],[% надбавки]],4)</f>
        <v>0.19389999999999999</v>
      </c>
      <c r="S1352" s="12"/>
      <c r="T1352">
        <v>0.13300000000000001</v>
      </c>
      <c r="U1352">
        <v>0.11699999999999999</v>
      </c>
      <c r="V1352">
        <v>0.13100000000000001</v>
      </c>
      <c r="W1352">
        <v>0.11799999999999999</v>
      </c>
      <c r="X1352">
        <v>0.13200000000000001</v>
      </c>
      <c r="Y1352">
        <v>9.2999999999999972E-2</v>
      </c>
      <c r="Z1352">
        <v>9.6999999999999975E-2</v>
      </c>
      <c r="AA1352">
        <v>7.5000000000000067E-2</v>
      </c>
      <c r="AB1352">
        <v>0.11299999999999988</v>
      </c>
      <c r="AC1352">
        <v>0.13300000000000001</v>
      </c>
      <c r="AD1352">
        <v>0.12800000000000011</v>
      </c>
      <c r="AE1352">
        <v>0.13500000000000001</v>
      </c>
      <c r="AF1352">
        <v>0.13500000000000001</v>
      </c>
      <c r="AG1352">
        <v>0.121</v>
      </c>
      <c r="AH1352">
        <v>0.129</v>
      </c>
      <c r="AI1352">
        <v>0.124</v>
      </c>
      <c r="AJ1352">
        <v>0.108</v>
      </c>
      <c r="AK1352">
        <v>9.4E-2</v>
      </c>
      <c r="AL1352">
        <v>0.112</v>
      </c>
      <c r="AM1352">
        <v>0.09</v>
      </c>
      <c r="AN1352">
        <v>8.2000000000000003E-2</v>
      </c>
      <c r="AO1352">
        <v>0.106</v>
      </c>
      <c r="AP1352">
        <v>0.1</v>
      </c>
      <c r="AQ1352">
        <v>0.123</v>
      </c>
      <c r="AR1352">
        <v>0.13500000000000001</v>
      </c>
      <c r="AS1352">
        <v>0.124</v>
      </c>
      <c r="AT1352">
        <v>0.13400000000000001</v>
      </c>
      <c r="AU1352">
        <v>0.112</v>
      </c>
      <c r="AV1352">
        <v>0.123</v>
      </c>
      <c r="AW1352">
        <v>0.126</v>
      </c>
      <c r="AX1352">
        <v>9.4E-2</v>
      </c>
      <c r="AY1352">
        <v>6.3E-2</v>
      </c>
      <c r="BD135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48.367440000000009</v>
      </c>
      <c r="BE135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43.686720000000008</v>
      </c>
      <c r="BF135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48.367440000000009</v>
      </c>
      <c r="BG135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46.807200000000009</v>
      </c>
      <c r="BH135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48.367440000000009</v>
      </c>
      <c r="BI135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46.807200000000009</v>
      </c>
      <c r="BJ135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48.367440000000009</v>
      </c>
      <c r="BK135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48.367440000000009</v>
      </c>
      <c r="BL135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46.807200000000009</v>
      </c>
      <c r="BM135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48.367440000000009</v>
      </c>
      <c r="BN135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46.807200000000009</v>
      </c>
      <c r="BO135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48.367440000000009</v>
      </c>
      <c r="BP1352">
        <f>SUM(Таб[[#This Row],[1]:[12]])</f>
        <v>569.48760000000004</v>
      </c>
    </row>
    <row r="1353" spans="2:68" ht="38.25">
      <c r="B1353" t="s">
        <v>2715</v>
      </c>
      <c r="C1353" t="str">
        <f>IF(Таб[[#This Row],[Потужність, МВт]]&lt;0.2,"Мікро",IF(Таб[[#This Row],[Потужність, МВт]]&lt;1,"Міні","Мала"))</f>
        <v>Міні</v>
      </c>
      <c r="G1353" s="1" t="s">
        <v>3172</v>
      </c>
      <c r="H1353" t="s">
        <v>321</v>
      </c>
      <c r="I1353" t="s">
        <v>3174</v>
      </c>
      <c r="J1353" s="22">
        <v>0.9</v>
      </c>
      <c r="K1353" s="8"/>
      <c r="L1353" s="12">
        <v>40360</v>
      </c>
      <c r="M1353">
        <v>7</v>
      </c>
      <c r="N1353" s="49" t="s">
        <v>60</v>
      </c>
      <c r="O1353">
        <v>2010</v>
      </c>
      <c r="P1353">
        <v>0.1163</v>
      </c>
      <c r="Q1353" s="10"/>
      <c r="R1353" s="11">
        <f>ROUND(Таб[[#This Row],[Зелений Тариф ЕЦ]]+Таб[[#This Row],[Зелений Тариф ЕЦ]]*Таб[[#This Row],[% надбавки]],4)</f>
        <v>0.1163</v>
      </c>
      <c r="S1353" s="12"/>
      <c r="T1353">
        <v>0.27700000000000002</v>
      </c>
      <c r="U1353">
        <v>0.28300000000000003</v>
      </c>
      <c r="V1353">
        <v>0.5169999999999999</v>
      </c>
      <c r="W1353">
        <v>0.36299999999999999</v>
      </c>
      <c r="X1353">
        <v>0.30600000000000005</v>
      </c>
      <c r="Y1353">
        <v>0.16799999999999993</v>
      </c>
      <c r="Z1353">
        <v>0.1010000000000002</v>
      </c>
      <c r="AA1353">
        <v>9.2999999999999972E-2</v>
      </c>
      <c r="AB1353">
        <v>0.13600000000000012</v>
      </c>
      <c r="AC1353">
        <v>0.25099999999999989</v>
      </c>
      <c r="AD1353">
        <v>0.27499999999999991</v>
      </c>
      <c r="AE1353">
        <v>0.43699999999999983</v>
      </c>
      <c r="AF1353">
        <v>0.46700000000000003</v>
      </c>
      <c r="AG1353">
        <v>0.45700000000000002</v>
      </c>
      <c r="AH1353">
        <v>0.47099999999999997</v>
      </c>
      <c r="AI1353">
        <v>0.45500000000000002</v>
      </c>
      <c r="AJ1353">
        <v>0.29199999999999998</v>
      </c>
      <c r="AK1353">
        <v>0.17799999999999999</v>
      </c>
      <c r="AL1353">
        <v>0.17</v>
      </c>
      <c r="AM1353">
        <v>0.188</v>
      </c>
      <c r="AN1353">
        <v>0.15</v>
      </c>
      <c r="AO1353">
        <v>0.13700000000000001</v>
      </c>
      <c r="AP1353">
        <v>0.153</v>
      </c>
      <c r="AQ1353">
        <v>0.24099999999999999</v>
      </c>
      <c r="AR1353">
        <v>0.308</v>
      </c>
      <c r="AS1353">
        <v>0.29899999999999999</v>
      </c>
      <c r="AT1353">
        <v>0.311</v>
      </c>
      <c r="AU1353">
        <v>0.20399999999999999</v>
      </c>
      <c r="AV1353">
        <v>0.40699999999999997</v>
      </c>
      <c r="AW1353">
        <v>0.42599999999999999</v>
      </c>
      <c r="AX1353">
        <v>0.26800000000000002</v>
      </c>
      <c r="AY1353">
        <v>0.18099999999999999</v>
      </c>
      <c r="BD135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220.96800000000002</v>
      </c>
      <c r="BE135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199.584</v>
      </c>
      <c r="BF135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220.96800000000002</v>
      </c>
      <c r="BG135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213.84000000000003</v>
      </c>
      <c r="BH135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220.96800000000002</v>
      </c>
      <c r="BI135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213.84000000000003</v>
      </c>
      <c r="BJ135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220.96800000000002</v>
      </c>
      <c r="BK135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220.96800000000002</v>
      </c>
      <c r="BL135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213.84000000000003</v>
      </c>
      <c r="BM135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220.96800000000002</v>
      </c>
      <c r="BN135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213.84000000000003</v>
      </c>
      <c r="BO135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220.96800000000002</v>
      </c>
      <c r="BP1353">
        <f>SUM(Таб[[#This Row],[1]:[12]])</f>
        <v>2601.7200000000003</v>
      </c>
    </row>
    <row r="1354" spans="2:68" ht="38.25">
      <c r="B1354" t="s">
        <v>2715</v>
      </c>
      <c r="C1354" t="str">
        <f>IF(Таб[[#This Row],[Потужність, МВт]]&lt;0.2,"Мікро",IF(Таб[[#This Row],[Потужність, МВт]]&lt;1,"Міні","Мала"))</f>
        <v>Міні</v>
      </c>
      <c r="G1354" s="1" t="s">
        <v>3172</v>
      </c>
      <c r="H1354" t="s">
        <v>176</v>
      </c>
      <c r="I1354" t="s">
        <v>3128</v>
      </c>
      <c r="J1354" s="22">
        <v>0.315</v>
      </c>
      <c r="K1354" s="8"/>
      <c r="L1354" s="12">
        <v>41746</v>
      </c>
      <c r="M1354">
        <v>4</v>
      </c>
      <c r="N1354" s="49" t="s">
        <v>57</v>
      </c>
      <c r="O1354">
        <v>2014</v>
      </c>
      <c r="P1354">
        <v>0.15509999999999999</v>
      </c>
      <c r="Q1354" s="10"/>
      <c r="R1354" s="11">
        <f>ROUND(Таб[[#This Row],[Зелений Тариф ЕЦ]]+Таб[[#This Row],[Зелений Тариф ЕЦ]]*Таб[[#This Row],[% надбавки]],4)</f>
        <v>0.15509999999999999</v>
      </c>
      <c r="S1354" s="12"/>
      <c r="T1354">
        <v>5.7000000000000002E-2</v>
      </c>
      <c r="U1354">
        <v>6.4000000000000001E-2</v>
      </c>
      <c r="V1354">
        <v>0.18099999999999999</v>
      </c>
      <c r="W1354">
        <v>0.11699999999999999</v>
      </c>
      <c r="X1354">
        <v>4.7000000000000042E-2</v>
      </c>
      <c r="Y1354">
        <v>2.9999999999999971E-2</v>
      </c>
      <c r="Z1354">
        <v>1.7000000000000015E-2</v>
      </c>
      <c r="AA1354">
        <v>1.7000000000000015E-2</v>
      </c>
      <c r="AB1354">
        <v>2.0000000000000018E-2</v>
      </c>
      <c r="AC1354">
        <v>4.3999999999999928E-2</v>
      </c>
      <c r="AD1354">
        <v>4.2000000000000037E-2</v>
      </c>
      <c r="AE1354">
        <v>6.3999999999999946E-2</v>
      </c>
      <c r="AF1354">
        <v>6.7000000000000004E-2</v>
      </c>
      <c r="AG1354">
        <v>7.0000000000000007E-2</v>
      </c>
      <c r="AH1354">
        <v>8.3000000000000004E-2</v>
      </c>
      <c r="AI1354">
        <v>7.5999999999999998E-2</v>
      </c>
      <c r="AJ1354">
        <v>3.4000000000000002E-2</v>
      </c>
      <c r="AK1354">
        <v>8.0000000000000002E-3</v>
      </c>
      <c r="AL1354">
        <v>2.8000000000000001E-2</v>
      </c>
      <c r="AM1354">
        <v>1.4999999999999999E-2</v>
      </c>
      <c r="AN1354">
        <v>0.01</v>
      </c>
      <c r="AO1354">
        <v>3.5000000000000003E-2</v>
      </c>
      <c r="AP1354">
        <v>2.5000000000000001E-2</v>
      </c>
      <c r="AQ1354">
        <v>4.4999999999999998E-2</v>
      </c>
      <c r="AR1354">
        <v>6.6000000000000003E-2</v>
      </c>
      <c r="AS1354">
        <v>9.9000000000000005E-2</v>
      </c>
      <c r="AT1354">
        <v>6.4000000000000001E-2</v>
      </c>
      <c r="AU1354">
        <v>4.4999999999999998E-2</v>
      </c>
      <c r="AV1354">
        <v>0.13500000000000001</v>
      </c>
      <c r="AW1354">
        <v>0.105</v>
      </c>
      <c r="AX1354">
        <v>2.1999999999999999E-2</v>
      </c>
      <c r="AY1354">
        <v>1.0999999999999999E-2</v>
      </c>
      <c r="BD135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77.338799999999992</v>
      </c>
      <c r="BE135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69.854399999999998</v>
      </c>
      <c r="BF135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77.338799999999992</v>
      </c>
      <c r="BG135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74.843999999999994</v>
      </c>
      <c r="BH135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77.338799999999992</v>
      </c>
      <c r="BI135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74.843999999999994</v>
      </c>
      <c r="BJ135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77.338799999999992</v>
      </c>
      <c r="BK135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77.338799999999992</v>
      </c>
      <c r="BL135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74.843999999999994</v>
      </c>
      <c r="BM135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77.338799999999992</v>
      </c>
      <c r="BN135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74.843999999999994</v>
      </c>
      <c r="BO135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77.338799999999992</v>
      </c>
      <c r="BP1354">
        <f>SUM(Таб[[#This Row],[1]:[12]])</f>
        <v>910.60200000000009</v>
      </c>
    </row>
    <row r="1355" spans="2:68" ht="38.25">
      <c r="B1355" t="s">
        <v>2715</v>
      </c>
      <c r="C1355" t="str">
        <f>IF(Таб[[#This Row],[Потужність, МВт]]&lt;0.2,"Мікро",IF(Таб[[#This Row],[Потужність, МВт]]&lt;1,"Міні","Мала"))</f>
        <v>Мікро</v>
      </c>
      <c r="G1355" s="1" t="s">
        <v>3178</v>
      </c>
      <c r="H1355" t="s">
        <v>198</v>
      </c>
      <c r="I1355" t="s">
        <v>3180</v>
      </c>
      <c r="J1355" s="22">
        <v>0.11</v>
      </c>
      <c r="K1355" s="8"/>
      <c r="L1355" s="12">
        <v>43396</v>
      </c>
      <c r="M1355">
        <v>10</v>
      </c>
      <c r="N1355" s="49" t="s">
        <v>71</v>
      </c>
      <c r="O1355">
        <v>2018</v>
      </c>
      <c r="P1355">
        <v>0.17449999999999999</v>
      </c>
      <c r="Q1355" s="10"/>
      <c r="R1355" s="11">
        <f>ROUND(Таб[[#This Row],[Зелений Тариф ЕЦ]]+Таб[[#This Row],[Зелений Тариф ЕЦ]]*Таб[[#This Row],[% надбавки]],4)</f>
        <v>0.17449999999999999</v>
      </c>
      <c r="S1355" s="12"/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6.0000000000000001E-3</v>
      </c>
      <c r="AQ1355">
        <v>2E-3</v>
      </c>
      <c r="AR1355">
        <v>3.0000000000000001E-3</v>
      </c>
      <c r="AS1355">
        <v>7.0000000000000001E-3</v>
      </c>
      <c r="AT1355">
        <v>5.0000000000000001E-3</v>
      </c>
      <c r="AU1355">
        <v>3.0000000000000001E-3</v>
      </c>
      <c r="AV1355">
        <v>4.0000000000000001E-3</v>
      </c>
      <c r="AW1355">
        <v>2E-3</v>
      </c>
      <c r="AX1355">
        <v>1E-3</v>
      </c>
      <c r="AY1355">
        <v>1E-3</v>
      </c>
      <c r="BD135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27.007199999999997</v>
      </c>
      <c r="BE135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24.393599999999999</v>
      </c>
      <c r="BF135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27.007199999999997</v>
      </c>
      <c r="BG135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26.135999999999999</v>
      </c>
      <c r="BH135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27.007199999999997</v>
      </c>
      <c r="BI135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26.135999999999999</v>
      </c>
      <c r="BJ135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27.007199999999997</v>
      </c>
      <c r="BK135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27.007199999999997</v>
      </c>
      <c r="BL135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26.135999999999999</v>
      </c>
      <c r="BM135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27.007199999999997</v>
      </c>
      <c r="BN135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26.135999999999999</v>
      </c>
      <c r="BO135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27.007199999999997</v>
      </c>
      <c r="BP1355">
        <f>SUM(Таб[[#This Row],[1]:[12]])</f>
        <v>317.988</v>
      </c>
    </row>
    <row r="1356" spans="2:68">
      <c r="B1356" t="s">
        <v>2715</v>
      </c>
      <c r="C1356" t="str">
        <f>IF(Таб[[#This Row],[Потужність, МВт]]&lt;0.2,"Мікро",IF(Таб[[#This Row],[Потужність, МВт]]&lt;1,"Міні","Мала"))</f>
        <v>Мікро</v>
      </c>
      <c r="G1356" s="1"/>
      <c r="H1356"/>
      <c r="J1356" s="22"/>
      <c r="K1356" s="8"/>
      <c r="L1356" s="12"/>
      <c r="N1356" s="49"/>
      <c r="P1356">
        <v>0</v>
      </c>
      <c r="Q1356" s="10"/>
      <c r="R1356" s="11">
        <f>ROUND(Таб[[#This Row],[Зелений Тариф ЕЦ]]+Таб[[#This Row],[Зелений Тариф ЕЦ]]*Таб[[#This Row],[% надбавки]],4)</f>
        <v>0</v>
      </c>
      <c r="S1356" s="12"/>
      <c r="T1356">
        <v>5.1999999999999998E-2</v>
      </c>
      <c r="U1356">
        <v>5.6000000000000001E-2</v>
      </c>
      <c r="V1356">
        <v>2.5000000000000008E-2</v>
      </c>
      <c r="W1356">
        <v>0</v>
      </c>
      <c r="X1356">
        <v>3.7000000000000005E-2</v>
      </c>
      <c r="Y1356">
        <v>6.7999999999999977E-2</v>
      </c>
      <c r="Z1356">
        <v>4.0000000000000036E-2</v>
      </c>
      <c r="AA1356">
        <v>5.3999999999999992E-2</v>
      </c>
      <c r="AB1356">
        <v>5.7999999999999996E-2</v>
      </c>
      <c r="AC1356">
        <v>6.8000000000000005E-2</v>
      </c>
      <c r="AD1356">
        <v>6.6000000000000003E-2</v>
      </c>
      <c r="AE1356">
        <v>4.8999999999999932E-2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1.9E-2</v>
      </c>
      <c r="AL1356">
        <v>3.5000000000000003E-2</v>
      </c>
      <c r="AM1356">
        <v>3.5999999999999997E-2</v>
      </c>
      <c r="AN1356">
        <v>3.5000000000000003E-2</v>
      </c>
      <c r="AO1356">
        <v>3.6999999999999998E-2</v>
      </c>
      <c r="AP1356">
        <v>3.6999999999999998E-2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BD135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0</v>
      </c>
      <c r="BE135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0</v>
      </c>
      <c r="BF135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0</v>
      </c>
      <c r="BG135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0</v>
      </c>
      <c r="BH135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0</v>
      </c>
      <c r="BI135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0</v>
      </c>
      <c r="BJ135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0</v>
      </c>
      <c r="BK135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0</v>
      </c>
      <c r="BL135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0</v>
      </c>
      <c r="BM135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0</v>
      </c>
      <c r="BN135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0</v>
      </c>
      <c r="BO135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0</v>
      </c>
      <c r="BP1356">
        <f>SUM(Таб[[#This Row],[1]:[12]])</f>
        <v>0</v>
      </c>
    </row>
    <row r="1357" spans="2:68" ht="38.25">
      <c r="B1357" t="s">
        <v>2715</v>
      </c>
      <c r="C1357" t="str">
        <f>IF(Таб[[#This Row],[Потужність, МВт]]&lt;0.2,"Мікро",IF(Таб[[#This Row],[Потужність, МВт]]&lt;1,"Міні","Мала"))</f>
        <v>Мікро</v>
      </c>
      <c r="G1357" s="1" t="s">
        <v>3183</v>
      </c>
      <c r="H1357" t="s">
        <v>176</v>
      </c>
      <c r="J1357" s="22">
        <v>0.13200000000000001</v>
      </c>
      <c r="K1357" s="8"/>
      <c r="L1357" s="12">
        <v>41270</v>
      </c>
      <c r="M1357">
        <v>12</v>
      </c>
      <c r="N1357" s="49" t="s">
        <v>71</v>
      </c>
      <c r="O1357">
        <v>2012</v>
      </c>
      <c r="P1357">
        <v>0.1163</v>
      </c>
      <c r="Q1357" s="10"/>
      <c r="R1357" s="11">
        <f>ROUND(Таб[[#This Row],[Зелений Тариф ЕЦ]]+Таб[[#This Row],[Зелений Тариф ЕЦ]]*Таб[[#This Row],[% надбавки]],4)</f>
        <v>0.1163</v>
      </c>
      <c r="S1357" s="12"/>
      <c r="T1357">
        <v>6.0000000000000001E-3</v>
      </c>
      <c r="U1357">
        <v>1.1999999999999999E-2</v>
      </c>
      <c r="V1357">
        <v>5.1000000000000004E-2</v>
      </c>
      <c r="W1357">
        <v>3.2000000000000001E-2</v>
      </c>
      <c r="X1357">
        <v>1.9999999999999879E-3</v>
      </c>
      <c r="Y1357">
        <v>4.0000000000000036E-3</v>
      </c>
      <c r="Z1357">
        <v>3.0000000000000027E-3</v>
      </c>
      <c r="AA1357">
        <v>0</v>
      </c>
      <c r="AB1357">
        <v>2.0000000000000018E-3</v>
      </c>
      <c r="AC1357">
        <v>5.9999999999999915E-3</v>
      </c>
      <c r="AD1357">
        <v>2.0000000000000018E-3</v>
      </c>
      <c r="AE1357">
        <v>1.100000000000001E-2</v>
      </c>
      <c r="AF1357">
        <v>1.9E-2</v>
      </c>
      <c r="AG1357">
        <v>1.4E-2</v>
      </c>
      <c r="AH1357">
        <v>3.5000000000000003E-2</v>
      </c>
      <c r="AI1357">
        <v>3.5000000000000003E-2</v>
      </c>
      <c r="AJ1357">
        <v>1E-3</v>
      </c>
      <c r="AK1357">
        <v>2E-3</v>
      </c>
      <c r="AL1357">
        <v>1E-3</v>
      </c>
      <c r="AM1357">
        <v>2E-3</v>
      </c>
      <c r="AN1357">
        <v>3.0000000000000001E-3</v>
      </c>
      <c r="AO1357">
        <v>0</v>
      </c>
      <c r="AP1357">
        <v>2E-3</v>
      </c>
      <c r="AQ1357">
        <v>2E-3</v>
      </c>
      <c r="AR1357">
        <v>7.0000000000000001E-3</v>
      </c>
      <c r="AS1357">
        <v>2.9000000000000001E-2</v>
      </c>
      <c r="AT1357">
        <v>1.0999999999999999E-2</v>
      </c>
      <c r="AU1357">
        <v>5.0000000000000001E-3</v>
      </c>
      <c r="AV1357">
        <v>2.8000000000000001E-2</v>
      </c>
      <c r="AW1357">
        <v>2.5999999999999999E-2</v>
      </c>
      <c r="AX1357">
        <v>2E-3</v>
      </c>
      <c r="AY1357">
        <v>1E-3</v>
      </c>
      <c r="BD135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32.408639999999998</v>
      </c>
      <c r="BE135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29.272320000000001</v>
      </c>
      <c r="BF135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32.408639999999998</v>
      </c>
      <c r="BG135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31.363199999999999</v>
      </c>
      <c r="BH135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32.408639999999998</v>
      </c>
      <c r="BI135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31.363199999999999</v>
      </c>
      <c r="BJ135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32.408639999999998</v>
      </c>
      <c r="BK135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32.408639999999998</v>
      </c>
      <c r="BL135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31.363199999999999</v>
      </c>
      <c r="BM135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32.408639999999998</v>
      </c>
      <c r="BN135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31.363199999999999</v>
      </c>
      <c r="BO135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32.408639999999998</v>
      </c>
      <c r="BP1357">
        <f>SUM(Таб[[#This Row],[1]:[12]])</f>
        <v>381.58559999999994</v>
      </c>
    </row>
    <row r="1358" spans="2:68" ht="63.75">
      <c r="B1358" t="s">
        <v>2715</v>
      </c>
      <c r="C1358" t="str">
        <f>IF(Таб[[#This Row],[Потужність, МВт]]&lt;0.2,"Мікро",IF(Таб[[#This Row],[Потужність, МВт]]&lt;1,"Міні","Мала"))</f>
        <v>Міні</v>
      </c>
      <c r="G1358" s="1" t="s">
        <v>3186</v>
      </c>
      <c r="H1358" t="s">
        <v>136</v>
      </c>
      <c r="I1358" t="s">
        <v>2818</v>
      </c>
      <c r="J1358" s="22">
        <v>0.2</v>
      </c>
      <c r="K1358" s="8"/>
      <c r="L1358" s="12">
        <v>43671</v>
      </c>
      <c r="M1358">
        <v>7</v>
      </c>
      <c r="N1358" s="49" t="s">
        <v>60</v>
      </c>
      <c r="O1358">
        <v>2019</v>
      </c>
      <c r="P1358">
        <v>0.17449999999999999</v>
      </c>
      <c r="Q1358" s="10"/>
      <c r="R1358" s="11">
        <f>ROUND(Таб[[#This Row],[Зелений Тариф ЕЦ]]+Таб[[#This Row],[Зелений Тариф ЕЦ]]*Таб[[#This Row],[% надбавки]],4)</f>
        <v>0.17449999999999999</v>
      </c>
      <c r="S1358" s="12"/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BD135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49.104000000000006</v>
      </c>
      <c r="BE135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44.352000000000004</v>
      </c>
      <c r="BF135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49.104000000000006</v>
      </c>
      <c r="BG135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47.519999999999996</v>
      </c>
      <c r="BH135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49.104000000000006</v>
      </c>
      <c r="BI135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47.519999999999996</v>
      </c>
      <c r="BJ135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49.104000000000006</v>
      </c>
      <c r="BK135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49.104000000000006</v>
      </c>
      <c r="BL135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47.519999999999996</v>
      </c>
      <c r="BM135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49.104000000000006</v>
      </c>
      <c r="BN135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47.519999999999996</v>
      </c>
      <c r="BO135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49.104000000000006</v>
      </c>
      <c r="BP1358">
        <f>SUM(Таб[[#This Row],[1]:[12]])</f>
        <v>578.16000000000008</v>
      </c>
    </row>
    <row r="1359" spans="2:68" ht="25.5">
      <c r="B1359" t="s">
        <v>2715</v>
      </c>
      <c r="C1359" t="str">
        <f>IF(Таб[[#This Row],[Потужність, МВт]]&lt;0.2,"Мікро",IF(Таб[[#This Row],[Потужність, МВт]]&lt;1,"Міні","Мала"))</f>
        <v>Мікро</v>
      </c>
      <c r="G1359" s="1" t="s">
        <v>3190</v>
      </c>
      <c r="H1359" t="s">
        <v>62</v>
      </c>
      <c r="I1359" t="s">
        <v>3191</v>
      </c>
      <c r="J1359" s="22">
        <v>0.09</v>
      </c>
      <c r="K1359" s="8"/>
      <c r="L1359" s="12">
        <v>43721</v>
      </c>
      <c r="M1359">
        <v>9</v>
      </c>
      <c r="N1359" s="49" t="s">
        <v>60</v>
      </c>
      <c r="O1359">
        <v>2019</v>
      </c>
      <c r="P1359">
        <v>0.17449999999999999</v>
      </c>
      <c r="Q1359" s="10"/>
      <c r="R1359" s="11">
        <f>ROUND(Таб[[#This Row],[Зелений Тариф ЕЦ]]+Таб[[#This Row],[Зелений Тариф ЕЦ]]*Таб[[#This Row],[% надбавки]],4)</f>
        <v>0.17449999999999999</v>
      </c>
      <c r="S1359" s="12"/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BD135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22.096800000000002</v>
      </c>
      <c r="BE135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19.958400000000001</v>
      </c>
      <c r="BF135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22.096800000000002</v>
      </c>
      <c r="BG135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21.384</v>
      </c>
      <c r="BH135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22.096800000000002</v>
      </c>
      <c r="BI135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21.384</v>
      </c>
      <c r="BJ135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22.096800000000002</v>
      </c>
      <c r="BK135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22.096800000000002</v>
      </c>
      <c r="BL135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21.384</v>
      </c>
      <c r="BM135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22.096800000000002</v>
      </c>
      <c r="BN135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21.384</v>
      </c>
      <c r="BO135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22.096800000000002</v>
      </c>
      <c r="BP1359">
        <f>SUM(Таб[[#This Row],[1]:[12]])</f>
        <v>260.17200000000003</v>
      </c>
    </row>
    <row r="1360" spans="2:68" ht="38.25">
      <c r="B1360" t="s">
        <v>2715</v>
      </c>
      <c r="C1360" t="str">
        <f>IF(Таб[[#This Row],[Потужність, МВт]]&lt;0.2,"Мікро",IF(Таб[[#This Row],[Потужність, МВт]]&lt;1,"Міні","Мала"))</f>
        <v>Мікро</v>
      </c>
      <c r="G1360" s="1" t="s">
        <v>3194</v>
      </c>
      <c r="H1360" t="s">
        <v>263</v>
      </c>
      <c r="I1360" t="s">
        <v>268</v>
      </c>
      <c r="J1360" s="22">
        <v>0.193</v>
      </c>
      <c r="K1360" s="8"/>
      <c r="L1360" s="12">
        <v>43655</v>
      </c>
      <c r="M1360">
        <v>7</v>
      </c>
      <c r="N1360" s="49" t="s">
        <v>60</v>
      </c>
      <c r="O1360">
        <v>2019</v>
      </c>
      <c r="P1360">
        <v>0.17449999999999999</v>
      </c>
      <c r="Q1360" s="10"/>
      <c r="R1360" s="11">
        <f>ROUND(Таб[[#This Row],[Зелений Тариф ЕЦ]]+Таб[[#This Row],[Зелений Тариф ЕЦ]]*Таб[[#This Row],[% надбавки]],4)</f>
        <v>0.17449999999999999</v>
      </c>
      <c r="S1360" s="12"/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0.03</v>
      </c>
      <c r="BD136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47.385360000000006</v>
      </c>
      <c r="BE136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42.799680000000009</v>
      </c>
      <c r="BF136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47.385360000000006</v>
      </c>
      <c r="BG136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45.856800000000007</v>
      </c>
      <c r="BH136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47.385360000000006</v>
      </c>
      <c r="BI136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45.856800000000007</v>
      </c>
      <c r="BJ136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47.385360000000006</v>
      </c>
      <c r="BK136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47.385360000000006</v>
      </c>
      <c r="BL136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45.856800000000007</v>
      </c>
      <c r="BM136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47.385360000000006</v>
      </c>
      <c r="BN136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45.856800000000007</v>
      </c>
      <c r="BO136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47.385360000000006</v>
      </c>
      <c r="BP1360">
        <f>SUM(Таб[[#This Row],[1]:[12]])</f>
        <v>557.92440000000011</v>
      </c>
    </row>
    <row r="1361" spans="2:68" ht="25.5">
      <c r="B1361" t="s">
        <v>2715</v>
      </c>
      <c r="C1361" t="str">
        <f>IF(Таб[[#This Row],[Потужність, МВт]]&lt;0.2,"Мікро",IF(Таб[[#This Row],[Потужність, МВт]]&lt;1,"Міні","Мала"))</f>
        <v>Мікро</v>
      </c>
      <c r="G1361" s="1" t="s">
        <v>3197</v>
      </c>
      <c r="H1361" t="s">
        <v>62</v>
      </c>
      <c r="I1361" t="s">
        <v>3191</v>
      </c>
      <c r="J1361" s="22">
        <v>0.15</v>
      </c>
      <c r="K1361" s="8"/>
      <c r="L1361" s="12">
        <v>43676</v>
      </c>
      <c r="M1361">
        <v>7</v>
      </c>
      <c r="N1361" s="49" t="s">
        <v>60</v>
      </c>
      <c r="O1361">
        <v>2019</v>
      </c>
      <c r="P1361">
        <v>0.17449999999999999</v>
      </c>
      <c r="Q1361" s="10"/>
      <c r="R1361" s="11">
        <f>ROUND(Таб[[#This Row],[Зелений Тариф ЕЦ]]+Таб[[#This Row],[Зелений Тариф ЕЦ]]*Таб[[#This Row],[% надбавки]],4)</f>
        <v>0.17449999999999999</v>
      </c>
      <c r="S1361" s="12"/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BD136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36.828000000000003</v>
      </c>
      <c r="BE136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33.264000000000003</v>
      </c>
      <c r="BF136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36.828000000000003</v>
      </c>
      <c r="BG136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35.64</v>
      </c>
      <c r="BH136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36.828000000000003</v>
      </c>
      <c r="BI136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35.64</v>
      </c>
      <c r="BJ136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36.828000000000003</v>
      </c>
      <c r="BK136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36.828000000000003</v>
      </c>
      <c r="BL136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35.64</v>
      </c>
      <c r="BM136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36.828000000000003</v>
      </c>
      <c r="BN136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35.64</v>
      </c>
      <c r="BO136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36.828000000000003</v>
      </c>
      <c r="BP1361">
        <f>SUM(Таб[[#This Row],[1]:[12]])</f>
        <v>433.62</v>
      </c>
    </row>
    <row r="1362" spans="2:68" ht="38.25">
      <c r="B1362" t="s">
        <v>2715</v>
      </c>
      <c r="C1362" t="str">
        <f>IF(Таб[[#This Row],[Потужність, МВт]]&lt;0.2,"Мікро",IF(Таб[[#This Row],[Потужність, МВт]]&lt;1,"Міні","Мала"))</f>
        <v>Міні</v>
      </c>
      <c r="G1362" s="1" t="s">
        <v>3201</v>
      </c>
      <c r="H1362" t="s">
        <v>1257</v>
      </c>
      <c r="I1362" t="s">
        <v>3202</v>
      </c>
      <c r="J1362" s="22">
        <v>0.2</v>
      </c>
      <c r="K1362" s="8"/>
      <c r="L1362" s="12">
        <v>43816</v>
      </c>
      <c r="M1362">
        <v>12</v>
      </c>
      <c r="N1362" s="49" t="s">
        <v>71</v>
      </c>
      <c r="O1362">
        <v>2019</v>
      </c>
      <c r="P1362">
        <v>0.17449999999999999</v>
      </c>
      <c r="Q1362" s="10"/>
      <c r="R1362" s="11">
        <f>ROUND(Таб[[#This Row],[Зелений Тариф ЕЦ]]+Таб[[#This Row],[Зелений Тариф ЕЦ]]*Таб[[#This Row],[% надбавки]],4)</f>
        <v>0.17449999999999999</v>
      </c>
      <c r="S1362" s="12"/>
      <c r="T1362"/>
      <c r="BD136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49.104000000000006</v>
      </c>
      <c r="BE136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44.352000000000004</v>
      </c>
      <c r="BF136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49.104000000000006</v>
      </c>
      <c r="BG136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47.519999999999996</v>
      </c>
      <c r="BH136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49.104000000000006</v>
      </c>
      <c r="BI136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47.519999999999996</v>
      </c>
      <c r="BJ136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49.104000000000006</v>
      </c>
      <c r="BK136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49.104000000000006</v>
      </c>
      <c r="BL136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47.519999999999996</v>
      </c>
      <c r="BM136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49.104000000000006</v>
      </c>
      <c r="BN136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47.519999999999996</v>
      </c>
      <c r="BO136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49.104000000000006</v>
      </c>
      <c r="BP1362">
        <f>SUM(Таб[[#This Row],[1]:[12]])</f>
        <v>578.16000000000008</v>
      </c>
    </row>
    <row r="1363" spans="2:68" ht="25.5">
      <c r="B1363" t="s">
        <v>2715</v>
      </c>
      <c r="C1363" t="str">
        <f>IF(Таб[[#This Row],[Потужність, МВт]]&lt;0.2,"Мікро",IF(Таб[[#This Row],[Потужність, МВт]]&lt;1,"Міні","Мала"))</f>
        <v>Міні</v>
      </c>
      <c r="G1363" s="1" t="s">
        <v>3205</v>
      </c>
      <c r="H1363" t="s">
        <v>233</v>
      </c>
      <c r="I1363" t="s">
        <v>3206</v>
      </c>
      <c r="J1363" s="22">
        <v>0.996</v>
      </c>
      <c r="K1363" s="8"/>
      <c r="L1363" s="12">
        <v>43816</v>
      </c>
      <c r="M1363">
        <v>12</v>
      </c>
      <c r="N1363" s="49" t="s">
        <v>71</v>
      </c>
      <c r="O1363">
        <v>2019</v>
      </c>
      <c r="P1363">
        <v>0.13950000000000001</v>
      </c>
      <c r="Q1363" s="10"/>
      <c r="R1363" s="11">
        <f>ROUND(Таб[[#This Row],[Зелений Тариф ЕЦ]]+Таб[[#This Row],[Зелений Тариф ЕЦ]]*Таб[[#This Row],[% надбавки]],4)</f>
        <v>0.13950000000000001</v>
      </c>
      <c r="S1363" s="12"/>
      <c r="T1363"/>
      <c r="BD136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244.53792000000001</v>
      </c>
      <c r="BE136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220.87296000000003</v>
      </c>
      <c r="BF136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244.53792000000001</v>
      </c>
      <c r="BG136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236.64960000000002</v>
      </c>
      <c r="BH136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244.53792000000001</v>
      </c>
      <c r="BI136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236.64960000000002</v>
      </c>
      <c r="BJ136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244.53792000000001</v>
      </c>
      <c r="BK136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244.53792000000001</v>
      </c>
      <c r="BL136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236.64960000000002</v>
      </c>
      <c r="BM136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244.53792000000001</v>
      </c>
      <c r="BN136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236.64960000000002</v>
      </c>
      <c r="BO136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244.53792000000001</v>
      </c>
      <c r="BP1363">
        <f>SUM(Таб[[#This Row],[1]:[12]])</f>
        <v>2879.2368000000006</v>
      </c>
    </row>
    <row r="1364" spans="2:68" ht="25.5">
      <c r="B1364" t="s">
        <v>2715</v>
      </c>
      <c r="C1364" t="str">
        <f>IF(Таб[[#This Row],[Потужність, МВт]]&lt;0.2,"Мікро",IF(Таб[[#This Row],[Потужність, МВт]]&lt;1,"Міні","Мала"))</f>
        <v>Міні</v>
      </c>
      <c r="G1364" s="1" t="s">
        <v>3205</v>
      </c>
      <c r="H1364" t="s">
        <v>233</v>
      </c>
      <c r="I1364" t="s">
        <v>3206</v>
      </c>
      <c r="J1364" s="22">
        <v>0.996</v>
      </c>
      <c r="K1364" s="8"/>
      <c r="L1364" s="12">
        <v>43816</v>
      </c>
      <c r="M1364">
        <v>12</v>
      </c>
      <c r="N1364" s="49" t="s">
        <v>71</v>
      </c>
      <c r="O1364">
        <v>2019</v>
      </c>
      <c r="P1364">
        <v>0.13950000000000001</v>
      </c>
      <c r="Q1364" s="10"/>
      <c r="R1364" s="11">
        <f>ROUND(Таб[[#This Row],[Зелений Тариф ЕЦ]]+Таб[[#This Row],[Зелений Тариф ЕЦ]]*Таб[[#This Row],[% надбавки]],4)</f>
        <v>0.13950000000000001</v>
      </c>
      <c r="S1364" s="12"/>
      <c r="T1364"/>
      <c r="BD1364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244.53792000000001</v>
      </c>
      <c r="BE1364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220.87296000000003</v>
      </c>
      <c r="BF1364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244.53792000000001</v>
      </c>
      <c r="BG1364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236.64960000000002</v>
      </c>
      <c r="BH1364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244.53792000000001</v>
      </c>
      <c r="BI1364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236.64960000000002</v>
      </c>
      <c r="BJ1364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244.53792000000001</v>
      </c>
      <c r="BK1364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244.53792000000001</v>
      </c>
      <c r="BL1364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236.64960000000002</v>
      </c>
      <c r="BM1364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244.53792000000001</v>
      </c>
      <c r="BN1364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236.64960000000002</v>
      </c>
      <c r="BO1364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244.53792000000001</v>
      </c>
      <c r="BP1364">
        <f>SUM(Таб[[#This Row],[1]:[12]])</f>
        <v>2879.2368000000006</v>
      </c>
    </row>
    <row r="1365" spans="2:68" ht="51">
      <c r="B1365" t="s">
        <v>2715</v>
      </c>
      <c r="C1365" t="str">
        <f>IF(Таб[[#This Row],[Потужність, МВт]]&lt;0.2,"Мікро",IF(Таб[[#This Row],[Потужність, МВт]]&lt;1,"Міні","Мала"))</f>
        <v>Мікро</v>
      </c>
      <c r="D1365" t="s">
        <v>3372</v>
      </c>
      <c r="F1365" t="s">
        <v>3287</v>
      </c>
      <c r="G1365" s="1" t="s">
        <v>3210</v>
      </c>
      <c r="H1365" t="s">
        <v>107</v>
      </c>
      <c r="I1365" t="s">
        <v>3211</v>
      </c>
      <c r="J1365" s="7">
        <v>0.13200000000000001</v>
      </c>
      <c r="K1365" s="8">
        <v>43772</v>
      </c>
      <c r="L1365" s="12">
        <v>43819</v>
      </c>
      <c r="M1365">
        <v>12</v>
      </c>
      <c r="N1365" s="49" t="s">
        <v>71</v>
      </c>
      <c r="O1365">
        <v>2019</v>
      </c>
      <c r="P1365">
        <v>0.17449999999999999</v>
      </c>
      <c r="Q1365" s="10">
        <v>0.05</v>
      </c>
      <c r="R1365" s="11">
        <f>ROUND(Таб[[#This Row],[Зелений Тариф ЕЦ]]+Таб[[#This Row],[Зелений Тариф ЕЦ]]*Таб[[#This Row],[% надбавки]],4)</f>
        <v>0.1832</v>
      </c>
      <c r="S1365" s="12">
        <v>43854</v>
      </c>
      <c r="T1365"/>
      <c r="BD1365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32.408639999999998</v>
      </c>
      <c r="BE1365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29.272320000000001</v>
      </c>
      <c r="BF1365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32.408639999999998</v>
      </c>
      <c r="BG1365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31.363199999999999</v>
      </c>
      <c r="BH1365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32.408639999999998</v>
      </c>
      <c r="BI1365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31.363199999999999</v>
      </c>
      <c r="BJ1365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32.408639999999998</v>
      </c>
      <c r="BK1365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32.408639999999998</v>
      </c>
      <c r="BL1365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31.363199999999999</v>
      </c>
      <c r="BM1365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32.408639999999998</v>
      </c>
      <c r="BN1365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31.363199999999999</v>
      </c>
      <c r="BO1365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32.408639999999998</v>
      </c>
      <c r="BP1365">
        <f>SUM(Таб[[#This Row],[1]:[12]])</f>
        <v>381.58559999999994</v>
      </c>
    </row>
    <row r="1366" spans="2:68" ht="51">
      <c r="B1366" t="s">
        <v>2715</v>
      </c>
      <c r="C1366" t="str">
        <f>IF(Таб[[#This Row],[Потужність, МВт]]&lt;0.2,"Мікро",IF(Таб[[#This Row],[Потужність, МВт]]&lt;1,"Міні","Мала"))</f>
        <v>Мікро</v>
      </c>
      <c r="G1366" s="1" t="s">
        <v>3214</v>
      </c>
      <c r="H1366" t="s">
        <v>136</v>
      </c>
      <c r="I1366" t="s">
        <v>2833</v>
      </c>
      <c r="J1366" s="7">
        <v>0.184</v>
      </c>
      <c r="K1366" s="8">
        <v>43803</v>
      </c>
      <c r="L1366" s="12">
        <v>43847</v>
      </c>
      <c r="M1366">
        <v>1</v>
      </c>
      <c r="N1366" s="49" t="s">
        <v>67</v>
      </c>
      <c r="O1366">
        <v>2020</v>
      </c>
      <c r="P1366">
        <v>0.17449999999999999</v>
      </c>
      <c r="Q1366" s="10"/>
      <c r="R1366" s="11">
        <f>ROUND(Таб[[#This Row],[Зелений Тариф ЕЦ]]+Таб[[#This Row],[Зелений Тариф ЕЦ]]*Таб[[#This Row],[% надбавки]],4)</f>
        <v>0.17449999999999999</v>
      </c>
      <c r="S1366" s="12"/>
      <c r="T1366"/>
      <c r="BD1366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45.17568</v>
      </c>
      <c r="BE1366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40.803840000000001</v>
      </c>
      <c r="BF1366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45.17568</v>
      </c>
      <c r="BG1366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43.718400000000003</v>
      </c>
      <c r="BH1366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45.17568</v>
      </c>
      <c r="BI1366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43.718400000000003</v>
      </c>
      <c r="BJ1366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45.17568</v>
      </c>
      <c r="BK1366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45.17568</v>
      </c>
      <c r="BL1366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43.718400000000003</v>
      </c>
      <c r="BM1366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45.17568</v>
      </c>
      <c r="BN1366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43.718400000000003</v>
      </c>
      <c r="BO1366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45.17568</v>
      </c>
      <c r="BP1366">
        <f>SUM(Таб[[#This Row],[1]:[12]])</f>
        <v>531.9072000000001</v>
      </c>
    </row>
    <row r="1367" spans="2:68" ht="51">
      <c r="B1367" t="s">
        <v>2715</v>
      </c>
      <c r="C1367" t="str">
        <f>IF(Таб[[#This Row],[Потужність, МВт]]&lt;0.2,"Мікро",IF(Таб[[#This Row],[Потужність, МВт]]&lt;1,"Міні","Мала"))</f>
        <v>Міні</v>
      </c>
      <c r="D1367" t="s">
        <v>3372</v>
      </c>
      <c r="F1367" t="s">
        <v>3287</v>
      </c>
      <c r="G1367" s="1" t="s">
        <v>3210</v>
      </c>
      <c r="H1367" t="s">
        <v>263</v>
      </c>
      <c r="I1367" t="s">
        <v>3219</v>
      </c>
      <c r="J1367" s="22">
        <v>0.45</v>
      </c>
      <c r="K1367" s="8">
        <v>43820</v>
      </c>
      <c r="L1367" s="12">
        <v>43854</v>
      </c>
      <c r="M1367">
        <v>1</v>
      </c>
      <c r="N1367" s="49" t="s">
        <v>67</v>
      </c>
      <c r="O1367">
        <v>2020</v>
      </c>
      <c r="P1367">
        <v>0.13950000000000001</v>
      </c>
      <c r="Q1367" s="10"/>
      <c r="R1367" s="11">
        <f>ROUND(Таб[[#This Row],[Зелений Тариф ЕЦ]]+Таб[[#This Row],[Зелений Тариф ЕЦ]]*Таб[[#This Row],[% надбавки]],4)</f>
        <v>0.13950000000000001</v>
      </c>
      <c r="S1367" s="12"/>
      <c r="T1367"/>
      <c r="BD1367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110.48400000000001</v>
      </c>
      <c r="BE1367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99.792000000000002</v>
      </c>
      <c r="BF1367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110.48400000000001</v>
      </c>
      <c r="BG1367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106.92000000000002</v>
      </c>
      <c r="BH1367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110.48400000000001</v>
      </c>
      <c r="BI1367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106.92000000000002</v>
      </c>
      <c r="BJ1367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110.48400000000001</v>
      </c>
      <c r="BK1367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110.48400000000001</v>
      </c>
      <c r="BL1367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106.92000000000002</v>
      </c>
      <c r="BM1367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110.48400000000001</v>
      </c>
      <c r="BN1367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106.92000000000002</v>
      </c>
      <c r="BO1367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110.48400000000001</v>
      </c>
      <c r="BP1367">
        <f>SUM(Таб[[#This Row],[1]:[12]])</f>
        <v>1300.8600000000001</v>
      </c>
    </row>
    <row r="1368" spans="2:68" ht="38.25">
      <c r="B1368" t="s">
        <v>2715</v>
      </c>
      <c r="C1368" t="str">
        <f>IF(Таб[[#This Row],[Потужність, МВт]]&lt;0.2,"Мікро",IF(Таб[[#This Row],[Потужність, МВт]]&lt;1,"Міні","Мала"))</f>
        <v>Міні</v>
      </c>
      <c r="G1368" s="1" t="s">
        <v>3222</v>
      </c>
      <c r="H1368" t="s">
        <v>107</v>
      </c>
      <c r="I1368" t="s">
        <v>3223</v>
      </c>
      <c r="J1368" s="22">
        <v>0.92700000000000005</v>
      </c>
      <c r="K1368" s="8">
        <v>43793</v>
      </c>
      <c r="L1368" s="12">
        <v>43858</v>
      </c>
      <c r="M1368">
        <v>1</v>
      </c>
      <c r="N1368" s="49" t="s">
        <v>67</v>
      </c>
      <c r="O1368">
        <v>2020</v>
      </c>
      <c r="P1368">
        <v>0.13950000000000001</v>
      </c>
      <c r="Q1368" s="10"/>
      <c r="R1368" s="11">
        <f>ROUND(Таб[[#This Row],[Зелений Тариф ЕЦ]]+Таб[[#This Row],[Зелений Тариф ЕЦ]]*Таб[[#This Row],[% надбавки]],4)</f>
        <v>0.13950000000000001</v>
      </c>
      <c r="S1368" s="12"/>
      <c r="T1368"/>
      <c r="BD1368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227.59703999999999</v>
      </c>
      <c r="BE1368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205.57152000000002</v>
      </c>
      <c r="BF1368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227.59703999999999</v>
      </c>
      <c r="BG1368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220.2552</v>
      </c>
      <c r="BH1368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227.59703999999999</v>
      </c>
      <c r="BI1368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220.2552</v>
      </c>
      <c r="BJ1368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227.59703999999999</v>
      </c>
      <c r="BK1368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227.59703999999999</v>
      </c>
      <c r="BL1368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220.2552</v>
      </c>
      <c r="BM1368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227.59703999999999</v>
      </c>
      <c r="BN1368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220.2552</v>
      </c>
      <c r="BO1368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227.59703999999999</v>
      </c>
      <c r="BP1368">
        <f>SUM(Таб[[#This Row],[1]:[12]])</f>
        <v>2679.7716000000005</v>
      </c>
    </row>
    <row r="1369" spans="2:68" ht="38.25">
      <c r="B1369" t="s">
        <v>2715</v>
      </c>
      <c r="C1369" t="str">
        <f>IF(Таб[[#This Row],[Потужність, МВт]]&lt;0.2,"Мікро",IF(Таб[[#This Row],[Потужність, МВт]]&lt;1,"Міні","Мала"))</f>
        <v>Мікро</v>
      </c>
      <c r="G1369" s="1" t="s">
        <v>3226</v>
      </c>
      <c r="H1369" t="s">
        <v>321</v>
      </c>
      <c r="I1369" t="s">
        <v>3227</v>
      </c>
      <c r="J1369" s="22">
        <v>7.4999999999999997E-2</v>
      </c>
      <c r="K1369" s="8">
        <v>43697</v>
      </c>
      <c r="L1369" s="12">
        <v>43861</v>
      </c>
      <c r="M1369">
        <v>1</v>
      </c>
      <c r="N1369" s="49" t="s">
        <v>67</v>
      </c>
      <c r="O1369">
        <v>2020</v>
      </c>
      <c r="P1369">
        <v>0.17449999999999999</v>
      </c>
      <c r="Q1369" s="10"/>
      <c r="R1369" s="11">
        <f>ROUND(Таб[[#This Row],[Зелений Тариф ЕЦ]]+Таб[[#This Row],[Зелений Тариф ЕЦ]]*Таб[[#This Row],[% надбавки]],4)</f>
        <v>0.17449999999999999</v>
      </c>
      <c r="S1369" s="12"/>
      <c r="T1369"/>
      <c r="BD1369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18.414000000000001</v>
      </c>
      <c r="BE1369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16.632000000000001</v>
      </c>
      <c r="BF1369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18.414000000000001</v>
      </c>
      <c r="BG1369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17.82</v>
      </c>
      <c r="BH1369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18.414000000000001</v>
      </c>
      <c r="BI1369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17.82</v>
      </c>
      <c r="BJ1369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18.414000000000001</v>
      </c>
      <c r="BK1369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18.414000000000001</v>
      </c>
      <c r="BL1369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17.82</v>
      </c>
      <c r="BM1369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18.414000000000001</v>
      </c>
      <c r="BN1369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17.82</v>
      </c>
      <c r="BO1369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18.414000000000001</v>
      </c>
      <c r="BP1369">
        <f>SUM(Таб[[#This Row],[1]:[12]])</f>
        <v>216.81</v>
      </c>
    </row>
    <row r="1370" spans="2:68" ht="38.25">
      <c r="B1370" t="s">
        <v>2715</v>
      </c>
      <c r="C1370" t="str">
        <f>IF(Таб[[#This Row],[Потужність, МВт]]&lt;0.2,"Мікро",IF(Таб[[#This Row],[Потужність, МВт]]&lt;1,"Міні","Мала"))</f>
        <v>Мікро</v>
      </c>
      <c r="G1370" s="1" t="s">
        <v>3230</v>
      </c>
      <c r="H1370" t="s">
        <v>198</v>
      </c>
      <c r="I1370" t="s">
        <v>571</v>
      </c>
      <c r="J1370" s="22">
        <v>0.09</v>
      </c>
      <c r="K1370" s="8">
        <v>43794</v>
      </c>
      <c r="L1370" s="12">
        <v>43861</v>
      </c>
      <c r="M1370">
        <v>1</v>
      </c>
      <c r="N1370" s="49" t="s">
        <v>67</v>
      </c>
      <c r="O1370">
        <v>2020</v>
      </c>
      <c r="P1370">
        <v>0.17449999999999999</v>
      </c>
      <c r="Q1370" s="10"/>
      <c r="R1370" s="11">
        <f>ROUND(Таб[[#This Row],[Зелений Тариф ЕЦ]]+Таб[[#This Row],[Зелений Тариф ЕЦ]]*Таб[[#This Row],[% надбавки]],4)</f>
        <v>0.17449999999999999</v>
      </c>
      <c r="S1370" s="12"/>
      <c r="T1370"/>
      <c r="BD1370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22.096800000000002</v>
      </c>
      <c r="BE1370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19.958400000000001</v>
      </c>
      <c r="BF1370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22.096800000000002</v>
      </c>
      <c r="BG1370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21.384</v>
      </c>
      <c r="BH1370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22.096800000000002</v>
      </c>
      <c r="BI1370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21.384</v>
      </c>
      <c r="BJ1370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22.096800000000002</v>
      </c>
      <c r="BK1370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22.096800000000002</v>
      </c>
      <c r="BL1370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21.384</v>
      </c>
      <c r="BM1370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22.096800000000002</v>
      </c>
      <c r="BN1370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21.384</v>
      </c>
      <c r="BO1370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22.096800000000002</v>
      </c>
      <c r="BP1370">
        <f>SUM(Таб[[#This Row],[1]:[12]])</f>
        <v>260.17200000000003</v>
      </c>
    </row>
    <row r="1371" spans="2:68" ht="51">
      <c r="B1371" t="s">
        <v>2715</v>
      </c>
      <c r="C1371" t="str">
        <f>IF(Таб[[#This Row],[Потужність, МВт]]&lt;0.2,"Мікро",IF(Таб[[#This Row],[Потужність, МВт]]&lt;1,"Міні","Мала"))</f>
        <v>Мікро</v>
      </c>
      <c r="G1371" s="1" t="s">
        <v>3233</v>
      </c>
      <c r="H1371" t="s">
        <v>107</v>
      </c>
      <c r="I1371" t="s">
        <v>3223</v>
      </c>
      <c r="J1371" s="7">
        <v>0.1</v>
      </c>
      <c r="K1371" s="108">
        <v>43822</v>
      </c>
      <c r="L1371" s="12">
        <v>43924</v>
      </c>
      <c r="M1371">
        <v>4</v>
      </c>
      <c r="N1371" s="49" t="s">
        <v>67</v>
      </c>
      <c r="O1371">
        <v>2020</v>
      </c>
      <c r="P1371">
        <v>0.17449999999999999</v>
      </c>
      <c r="Q1371" s="10">
        <v>0.1</v>
      </c>
      <c r="R1371" s="11">
        <f>ROUND(Таб[[#This Row],[Зелений Тариф ЕЦ]]+Таб[[#This Row],[Зелений Тариф ЕЦ]]*Таб[[#This Row],[% надбавки]],4)</f>
        <v>0.192</v>
      </c>
      <c r="S1371" s="12">
        <v>43985</v>
      </c>
      <c r="T1371"/>
      <c r="BD1371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24.552000000000003</v>
      </c>
      <c r="BE1371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22.176000000000002</v>
      </c>
      <c r="BF1371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24.552000000000003</v>
      </c>
      <c r="BG1371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23.759999999999998</v>
      </c>
      <c r="BH1371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24.552000000000003</v>
      </c>
      <c r="BI1371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23.759999999999998</v>
      </c>
      <c r="BJ1371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24.552000000000003</v>
      </c>
      <c r="BK1371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24.552000000000003</v>
      </c>
      <c r="BL1371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23.759999999999998</v>
      </c>
      <c r="BM1371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24.552000000000003</v>
      </c>
      <c r="BN1371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23.759999999999998</v>
      </c>
      <c r="BO1371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24.552000000000003</v>
      </c>
      <c r="BP1371">
        <f>SUM(Таб[[#This Row],[1]:[12]])</f>
        <v>289.08000000000004</v>
      </c>
    </row>
    <row r="1372" spans="2:68" ht="38.25">
      <c r="B1372" t="s">
        <v>2715</v>
      </c>
      <c r="C1372" t="str">
        <f>IF(Таб[[#This Row],[Потужність, МВт]]&lt;0.2,"Мікро",IF(Таб[[#This Row],[Потужність, МВт]]&lt;1,"Міні","Мала"))</f>
        <v>Міні</v>
      </c>
      <c r="G1372" s="1" t="s">
        <v>3237</v>
      </c>
      <c r="H1372" t="s">
        <v>172</v>
      </c>
      <c r="J1372" s="22">
        <v>0.2</v>
      </c>
      <c r="K1372" s="8">
        <v>43826</v>
      </c>
      <c r="L1372" s="12">
        <v>43957</v>
      </c>
      <c r="M1372">
        <v>5</v>
      </c>
      <c r="N1372" s="49" t="s">
        <v>2678</v>
      </c>
      <c r="O1372">
        <v>2020</v>
      </c>
      <c r="P1372">
        <v>0.17449999999999999</v>
      </c>
      <c r="R1372" s="11">
        <f>ROUND(Таб[[#This Row],[Зелений Тариф ЕЦ]]+Таб[[#This Row],[Зелений Тариф ЕЦ]]*Таб[[#This Row],[% надбавки]],4)</f>
        <v>0.17449999999999999</v>
      </c>
      <c r="S1372" s="12"/>
      <c r="T1372"/>
      <c r="BD1372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49.104000000000006</v>
      </c>
      <c r="BE1372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44.352000000000004</v>
      </c>
      <c r="BF1372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49.104000000000006</v>
      </c>
      <c r="BG1372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47.519999999999996</v>
      </c>
      <c r="BH1372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49.104000000000006</v>
      </c>
      <c r="BI1372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47.519999999999996</v>
      </c>
      <c r="BJ1372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49.104000000000006</v>
      </c>
      <c r="BK1372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49.104000000000006</v>
      </c>
      <c r="BL1372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47.519999999999996</v>
      </c>
      <c r="BM1372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49.104000000000006</v>
      </c>
      <c r="BN1372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47.519999999999996</v>
      </c>
      <c r="BO1372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49.104000000000006</v>
      </c>
      <c r="BP1372">
        <f>SUM(Таб[[#This Row],[1]:[12]])</f>
        <v>578.16000000000008</v>
      </c>
    </row>
    <row r="1373" spans="2:68" ht="89.25">
      <c r="B1373" t="s">
        <v>2715</v>
      </c>
      <c r="G1373" s="1" t="s">
        <v>3352</v>
      </c>
      <c r="H1373"/>
      <c r="J1373" s="22">
        <v>7.4999999999999997E-2</v>
      </c>
      <c r="K1373" s="8">
        <v>43820</v>
      </c>
      <c r="L1373" s="136">
        <v>44027</v>
      </c>
      <c r="M1373">
        <v>7</v>
      </c>
      <c r="N1373" s="110" t="s">
        <v>2678</v>
      </c>
      <c r="O1373">
        <v>2020</v>
      </c>
      <c r="P1373">
        <v>0.17449999999999999</v>
      </c>
      <c r="R1373" s="11">
        <f>ROUND(Таб[[#This Row],[Зелений Тариф ЕЦ]]+Таб[[#This Row],[Зелений Тариф ЕЦ]]*Таб[[#This Row],[% надбавки]],4)</f>
        <v>0.17449999999999999</v>
      </c>
      <c r="S1373" s="137"/>
      <c r="T1373"/>
      <c r="BD1373">
        <f>IF(Таб[[#This Row],[Тип]]=КВВП!$C$6,Таб[[#This Row],[Потужність, МВт]]*КВВП!D$6*КВВП!D$2*24,
             IF(Таб[[#This Row],[Тип]]=КВВП!$C$4,Таб[[#This Row],[Потужність, МВт]]*КВВП!D$4*КВВП!D$2*24,
                     IF(Таб[[#This Row],[Тип]]=КВВП!$C$7,Таб[[#This Row],[Потужність, МВт]]*КВВП!D$7*КВВП!D$2*24,
                            IF(Таб[[#This Row],[Тип]]=КВВП!$C$5,Таб[[#This Row],[Потужність, МВт]]*КВВП!D$5*КВВП!D$2*24,0))))</f>
        <v>18.414000000000001</v>
      </c>
      <c r="BE1373">
        <f>IF(Таб[[#This Row],[Тип]]=КВВП!$C$6,Таб[[#This Row],[Потужність, МВт]]*КВВП!E$6*КВВП!E$2*24,
             IF(Таб[[#This Row],[Тип]]=КВВП!$C$4,Таб[[#This Row],[Потужність, МВт]]*КВВП!E$4*КВВП!E$2*24,
                     IF(Таб[[#This Row],[Тип]]=КВВП!$C$7,Таб[[#This Row],[Потужність, МВт]]*КВВП!E$7*КВВП!E$2*24,
                            IF(Таб[[#This Row],[Тип]]=КВВП!$C$5,Таб[[#This Row],[Потужність, МВт]]*КВВП!E$5*КВВП!E$2*24,0))))</f>
        <v>16.632000000000001</v>
      </c>
      <c r="BF1373">
        <f>IF(Таб[[#This Row],[Тип]]=КВВП!$C$6,Таб[[#This Row],[Потужність, МВт]]*КВВП!F$6*КВВП!F$2*24,
             IF(Таб[[#This Row],[Тип]]=КВВП!$C$4,Таб[[#This Row],[Потужність, МВт]]*КВВП!F$4*КВВП!F$2*24,
                     IF(Таб[[#This Row],[Тип]]=КВВП!$C$7,Таб[[#This Row],[Потужність, МВт]]*КВВП!F$7*КВВП!F$2*24,
                            IF(Таб[[#This Row],[Тип]]=КВВП!$C$5,Таб[[#This Row],[Потужність, МВт]]*КВВП!F$5*КВВП!F$2*24,0))))</f>
        <v>18.414000000000001</v>
      </c>
      <c r="BG1373">
        <f>IF(Таб[[#This Row],[Тип]]=КВВП!$C$6,Таб[[#This Row],[Потужність, МВт]]*КВВП!G$6*КВВП!G$2*24,
             IF(Таб[[#This Row],[Тип]]=КВВП!$C$4,Таб[[#This Row],[Потужність, МВт]]*КВВП!G$4*КВВП!G$2*24,
                     IF(Таб[[#This Row],[Тип]]=КВВП!$C$7,Таб[[#This Row],[Потужність, МВт]]*КВВП!G$7*КВВП!G$2*24,
                            IF(Таб[[#This Row],[Тип]]=КВВП!$C$5,Таб[[#This Row],[Потужність, МВт]]*КВВП!G$5*КВВП!G$2*24,0))))</f>
        <v>17.82</v>
      </c>
      <c r="BH1373">
        <f>IF(Таб[[#This Row],[Тип]]=КВВП!$C$6,Таб[[#This Row],[Потужність, МВт]]*КВВП!H$6*КВВП!H$2*24,
             IF(Таб[[#This Row],[Тип]]=КВВП!$C$4,Таб[[#This Row],[Потужність, МВт]]*КВВП!H$4*КВВП!H$2*24,
                     IF(Таб[[#This Row],[Тип]]=КВВП!$C$7,Таб[[#This Row],[Потужність, МВт]]*КВВП!H$7*КВВП!H$2*24,
                            IF(Таб[[#This Row],[Тип]]=КВВП!$C$5,Таб[[#This Row],[Потужність, МВт]]*КВВП!H$5*КВВП!H$2*24,0))))</f>
        <v>18.414000000000001</v>
      </c>
      <c r="BI1373">
        <f>IF(Таб[[#This Row],[Тип]]=КВВП!$C$6,Таб[[#This Row],[Потужність, МВт]]*КВВП!I$6*КВВП!I$2*24,
             IF(Таб[[#This Row],[Тип]]=КВВП!$C$4,Таб[[#This Row],[Потужність, МВт]]*КВВП!I$4*КВВП!I$2*24,
                     IF(Таб[[#This Row],[Тип]]=КВВП!$C$7,Таб[[#This Row],[Потужність, МВт]]*КВВП!I$7*КВВП!I$2*24,
                            IF(Таб[[#This Row],[Тип]]=КВВП!$C$5,Таб[[#This Row],[Потужність, МВт]]*КВВП!I$5*КВВП!I$2*24,0))))</f>
        <v>17.82</v>
      </c>
      <c r="BJ1373">
        <f>IF(Таб[[#This Row],[Тип]]=КВВП!$C$6,Таб[[#This Row],[Потужність, МВт]]*КВВП!J$6*КВВП!J$2*24,
             IF(Таб[[#This Row],[Тип]]=КВВП!$C$4,Таб[[#This Row],[Потужність, МВт]]*КВВП!J$4*КВВП!J$2*24,
                     IF(Таб[[#This Row],[Тип]]=КВВП!$C$7,Таб[[#This Row],[Потужність, МВт]]*КВВП!J$7*КВВП!J$2*24,
                            IF(Таб[[#This Row],[Тип]]=КВВП!$C$5,Таб[[#This Row],[Потужність, МВт]]*КВВП!J$5*КВВП!J$2*24,0))))</f>
        <v>18.414000000000001</v>
      </c>
      <c r="BK1373">
        <f>IF(Таб[[#This Row],[Тип]]=КВВП!$C$6,Таб[[#This Row],[Потужність, МВт]]*КВВП!K$6*КВВП!K$2*24,
             IF(Таб[[#This Row],[Тип]]=КВВП!$C$4,Таб[[#This Row],[Потужність, МВт]]*КВВП!K$4*КВВП!K$2*24,
                     IF(Таб[[#This Row],[Тип]]=КВВП!$C$7,Таб[[#This Row],[Потужність, МВт]]*КВВП!K$7*КВВП!K$2*24,
                            IF(Таб[[#This Row],[Тип]]=КВВП!$C$5,Таб[[#This Row],[Потужність, МВт]]*КВВП!K$5*КВВП!K$2*24,0))))</f>
        <v>18.414000000000001</v>
      </c>
      <c r="BL1373">
        <f>IF(Таб[[#This Row],[Тип]]=КВВП!$C$6,Таб[[#This Row],[Потужність, МВт]]*КВВП!L$6*КВВП!L$2*24,
             IF(Таб[[#This Row],[Тип]]=КВВП!$C$4,Таб[[#This Row],[Потужність, МВт]]*КВВП!L$4*КВВП!L$2*24,
                     IF(Таб[[#This Row],[Тип]]=КВВП!$C$7,Таб[[#This Row],[Потужність, МВт]]*КВВП!L$7*КВВП!L$2*24,
                            IF(Таб[[#This Row],[Тип]]=КВВП!$C$5,Таб[[#This Row],[Потужність, МВт]]*КВВП!L$5*КВВП!L$2*24,0))))</f>
        <v>17.82</v>
      </c>
      <c r="BM1373">
        <f>IF(Таб[[#This Row],[Тип]]=КВВП!$C$6,Таб[[#This Row],[Потужність, МВт]]*КВВП!M$6*КВВП!M$2*24,
             IF(Таб[[#This Row],[Тип]]=КВВП!$C$4,Таб[[#This Row],[Потужність, МВт]]*КВВП!M$4*КВВП!M$2*24,
                     IF(Таб[[#This Row],[Тип]]=КВВП!$C$7,Таб[[#This Row],[Потужність, МВт]]*КВВП!M$7*КВВП!M$2*24,
                            IF(Таб[[#This Row],[Тип]]=КВВП!$C$5,Таб[[#This Row],[Потужність, МВт]]*КВВП!M$5*КВВП!M$2*24,0))))</f>
        <v>18.414000000000001</v>
      </c>
      <c r="BN1373">
        <f>IF(Таб[[#This Row],[Тип]]=КВВП!$C$6,Таб[[#This Row],[Потужність, МВт]]*КВВП!N$6*КВВП!N$2*24,
             IF(Таб[[#This Row],[Тип]]=КВВП!$C$4,Таб[[#This Row],[Потужність, МВт]]*КВВП!N$4*КВВП!N$2*24,
                     IF(Таб[[#This Row],[Тип]]=КВВП!$C$7,Таб[[#This Row],[Потужність, МВт]]*КВВП!N$7*КВВП!N$2*24,
                            IF(Таб[[#This Row],[Тип]]=КВВП!$C$5,Таб[[#This Row],[Потужність, МВт]]*КВВП!N$5*КВВП!N$2*24,0))))</f>
        <v>17.82</v>
      </c>
      <c r="BO1373">
        <f>IF(Таб[[#This Row],[Тип]]=КВВП!$C$6,Таб[[#This Row],[Потужність, МВт]]*КВВП!O$6*КВВП!O$2*24,
             IF(Таб[[#This Row],[Тип]]=КВВП!$C$4,Таб[[#This Row],[Потужність, МВт]]*КВВП!O$4*КВВП!O$2*24,
                     IF(Таб[[#This Row],[Тип]]=КВВП!$C$7,Таб[[#This Row],[Потужність, МВт]]*КВВП!O$7*КВВП!O$2*24,
                            IF(Таб[[#This Row],[Тип]]=КВВП!$C$5,Таб[[#This Row],[Потужність, МВт]]*КВВП!O$5*КВВП!O$2*24,0))))</f>
        <v>18.414000000000001</v>
      </c>
      <c r="BP1373">
        <f>SUM(Таб[[#This Row],[1]:[12]])</f>
        <v>216.81</v>
      </c>
    </row>
    <row r="1381" spans="5:7" ht="10.9" customHeight="1"/>
    <row r="1387" spans="5:7">
      <c r="E1387" s="23"/>
      <c r="F1387" s="23" t="s">
        <v>3386</v>
      </c>
      <c r="G1387" s="23" t="s">
        <v>3287</v>
      </c>
    </row>
  </sheetData>
  <conditionalFormatting sqref="Q4:Q1373">
    <cfRule type="cellIs" dxfId="26" priority="6" operator="greaterThan">
      <formula>0</formula>
    </cfRule>
  </conditionalFormatting>
  <conditionalFormatting sqref="Q95:Q96 S95:S96">
    <cfRule type="cellIs" dxfId="25" priority="4" operator="greaterThan">
      <formula>0</formula>
    </cfRule>
  </conditionalFormatting>
  <conditionalFormatting sqref="Q148:Q1203 S148:S1203">
    <cfRule type="cellIs" dxfId="24" priority="3" operator="greaterThan">
      <formula>0</formula>
    </cfRule>
  </conditionalFormatting>
  <conditionalFormatting sqref="Q80:Q94 Q97:Q147 S80:S94 S97:S147">
    <cfRule type="cellIs" dxfId="23" priority="5" operator="greaterThan">
      <formula>0</formula>
    </cfRule>
  </conditionalFormatting>
  <conditionalFormatting sqref="Q1204:Q1370">
    <cfRule type="cellIs" dxfId="22" priority="2" operator="greaterThan">
      <formula>0</formula>
    </cfRule>
  </conditionalFormatting>
  <conditionalFormatting sqref="S1204:S1372">
    <cfRule type="cellIs" dxfId="21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6:Y45"/>
  <sheetViews>
    <sheetView topLeftCell="D16" zoomScale="55" zoomScaleNormal="55" workbookViewId="0">
      <selection activeCell="D36" sqref="A36:XFD36"/>
    </sheetView>
  </sheetViews>
  <sheetFormatPr defaultRowHeight="12.75"/>
  <cols>
    <col min="3" max="3" width="19.7109375" customWidth="1"/>
    <col min="5" max="5" width="11.28515625" customWidth="1"/>
    <col min="12" max="12" width="3.7109375" customWidth="1"/>
    <col min="13" max="13" width="19" customWidth="1"/>
    <col min="17" max="17" width="10.7109375" customWidth="1"/>
    <col min="19" max="19" width="10.140625" customWidth="1"/>
    <col min="20" max="20" width="10.28515625" customWidth="1"/>
    <col min="23" max="23" width="9.7109375" customWidth="1"/>
  </cols>
  <sheetData>
    <row r="6" spans="1:25" ht="15">
      <c r="L6" s="262" t="s">
        <v>3246</v>
      </c>
      <c r="M6" s="262"/>
      <c r="N6" s="262"/>
      <c r="O6" s="262"/>
      <c r="P6" s="262"/>
      <c r="Q6" s="262"/>
      <c r="R6" s="262"/>
      <c r="S6" s="262"/>
      <c r="T6" s="264" t="s">
        <v>3302</v>
      </c>
      <c r="U6" s="264"/>
      <c r="V6" s="264"/>
      <c r="W6" s="264"/>
      <c r="X6" s="264"/>
      <c r="Y6" s="264"/>
    </row>
    <row r="7" spans="1:25">
      <c r="E7" t="s">
        <v>3249</v>
      </c>
      <c r="F7" t="s">
        <v>78</v>
      </c>
      <c r="G7" t="s">
        <v>3245</v>
      </c>
      <c r="H7" t="s">
        <v>3250</v>
      </c>
      <c r="I7" t="s">
        <v>2896</v>
      </c>
    </row>
    <row r="8" spans="1:25" ht="15.75">
      <c r="B8" t="s">
        <v>3243</v>
      </c>
      <c r="C8" t="s">
        <v>5</v>
      </c>
      <c r="D8" t="s">
        <v>3242</v>
      </c>
      <c r="E8" t="s">
        <v>384</v>
      </c>
      <c r="F8" t="s">
        <v>54</v>
      </c>
      <c r="G8" t="s">
        <v>118</v>
      </c>
      <c r="H8" t="s">
        <v>195</v>
      </c>
      <c r="I8" t="s">
        <v>2715</v>
      </c>
      <c r="L8" s="35" t="s">
        <v>3243</v>
      </c>
      <c r="M8" s="35" t="s">
        <v>5</v>
      </c>
      <c r="N8" s="36" t="s">
        <v>3242</v>
      </c>
      <c r="O8" s="37" t="s">
        <v>384</v>
      </c>
      <c r="P8" s="38" t="s">
        <v>54</v>
      </c>
      <c r="Q8" s="39" t="s">
        <v>118</v>
      </c>
      <c r="R8" s="40" t="s">
        <v>195</v>
      </c>
      <c r="S8" s="41" t="s">
        <v>2715</v>
      </c>
      <c r="T8" s="36" t="s">
        <v>3251</v>
      </c>
      <c r="U8" s="37" t="s">
        <v>384</v>
      </c>
      <c r="V8" s="38" t="s">
        <v>54</v>
      </c>
      <c r="W8" s="39" t="s">
        <v>118</v>
      </c>
      <c r="X8" s="40" t="s">
        <v>195</v>
      </c>
      <c r="Y8" s="41" t="s">
        <v>2715</v>
      </c>
    </row>
    <row r="9" spans="1:25">
      <c r="A9">
        <f t="shared" ref="A9:A35" si="0">RANK(D9,$D$9:$D$35)</f>
        <v>6</v>
      </c>
      <c r="B9">
        <v>1</v>
      </c>
      <c r="C9" t="s">
        <v>198</v>
      </c>
      <c r="D9" s="31">
        <f>SUM(E9:I9)</f>
        <v>393.33915865384603</v>
      </c>
      <c r="E9" s="31">
        <f>SUMIFS(Таб[Потужність, МВт],Таб[Область],$C9,Таб[Тип],E$8)</f>
        <v>352.21015865384601</v>
      </c>
      <c r="F9">
        <f>SUMIFS(Таб[Потужність, МВт],Таб[Область],$C9,Таб[Тип],F$8)</f>
        <v>0</v>
      </c>
      <c r="G9">
        <f>SUMIFS(Таб[Потужність, МВт],Таб[Область],$C9,Таб[Підтип],G$8)</f>
        <v>0</v>
      </c>
      <c r="H9">
        <f>SUMIFS(Таб[Потужність, МВт],Таб[Область],$C9,Таб[Підтип],H$8)</f>
        <v>16.829000000000001</v>
      </c>
      <c r="I9">
        <f>SUMIFS(Таб[Потужність, МВт],Таб[Область],$C9,Таб[Тип],I$8)</f>
        <v>24.299999999999994</v>
      </c>
      <c r="L9" s="33">
        <v>1</v>
      </c>
      <c r="M9" s="33" t="str">
        <f>VLOOKUP($L9,$A$9:$I$35,3,FALSE)</f>
        <v xml:space="preserve">Дніпропетровська </v>
      </c>
      <c r="N9" s="34">
        <f>VLOOKUP($L9,$A$9:$I$35,4,FALSE)</f>
        <v>1152.8510000000001</v>
      </c>
      <c r="O9" s="34">
        <f>VLOOKUP($L9,$A$9:$I$35,5,FALSE)</f>
        <v>1123.018</v>
      </c>
      <c r="P9" s="34">
        <f>VLOOKUP($L9,$A$9:$I$35,6,FALSE)</f>
        <v>0</v>
      </c>
      <c r="Q9" s="34">
        <f>VLOOKUP($L9,$A$9:$I$35,7,FALSE)</f>
        <v>16</v>
      </c>
      <c r="R9" s="34">
        <f>VLOOKUP($L9,$A$9:$I$35,8,FALSE)</f>
        <v>13.702999999999999</v>
      </c>
      <c r="S9" s="34">
        <f>VLOOKUP($L9,$A$9:$I$35,9,FALSE)</f>
        <v>0.13</v>
      </c>
      <c r="T9" s="84">
        <f>N9/$N$36</f>
        <v>0.16116475809230632</v>
      </c>
      <c r="U9" s="84">
        <f>O9/$O$36</f>
        <v>0.1955454655944748</v>
      </c>
      <c r="V9" s="84">
        <f>P9/$P$36</f>
        <v>0</v>
      </c>
      <c r="W9" s="84">
        <f>Q9/$Q$36</f>
        <v>0.17463817153834399</v>
      </c>
      <c r="X9" s="84">
        <f>R9/$R$36</f>
        <v>0.1525419955249302</v>
      </c>
      <c r="Y9" s="84">
        <f>S9/$S$36</f>
        <v>1.1295606009262397E-3</v>
      </c>
    </row>
    <row r="10" spans="1:25">
      <c r="A10">
        <f>RANK(D10,$D$9:$D$35)</f>
        <v>23</v>
      </c>
      <c r="B10">
        <v>2</v>
      </c>
      <c r="C10" t="s">
        <v>255</v>
      </c>
      <c r="D10" s="31">
        <f t="shared" ref="D10:D35" si="1">SUM(E10:I10)</f>
        <v>2.6908413461538463</v>
      </c>
      <c r="E10" s="31">
        <f>SUMIFS(Таб[Потужність, МВт],Таб[Область],$C10,Таб[Тип],E$8)</f>
        <v>2.3608413461538462</v>
      </c>
      <c r="F10">
        <f>SUMIFS(Таб[Потужність, МВт],Таб[Область],$C10,Таб[Тип],F$8)</f>
        <v>0</v>
      </c>
      <c r="G10">
        <f>SUMIFS(Таб[Потужність, МВт],Таб[Область],$C10,Таб[Підтип],G$8)</f>
        <v>0</v>
      </c>
      <c r="H10">
        <f>SUMIFS(Таб[Потужність, МВт],Таб[Область],$C10,Таб[Підтип],H$8)</f>
        <v>0.33</v>
      </c>
      <c r="I10">
        <f>SUMIFS(Таб[Потужність, МВт],Таб[Область],$C10,Таб[Тип],I$8)</f>
        <v>0</v>
      </c>
      <c r="L10" s="33">
        <v>2</v>
      </c>
      <c r="M10" s="33" t="str">
        <f t="shared" ref="M10:M33" si="2">VLOOKUP(L10,$A$9:$I$35,3,FALSE)</f>
        <v xml:space="preserve">Херсонська </v>
      </c>
      <c r="N10" s="34">
        <f t="shared" ref="N10:N33" si="3">VLOOKUP($L10,$A$9:$I$35,4,FALSE)</f>
        <v>878.61099999999999</v>
      </c>
      <c r="O10" s="34">
        <f t="shared" ref="O10:O33" si="4">VLOOKUP($L10,$A$9:$I$35,5,FALSE)</f>
        <v>498.0510000000001</v>
      </c>
      <c r="P10" s="34">
        <f t="shared" ref="P10:P33" si="5">VLOOKUP($L10,$A$9:$I$35,6,FALSE)</f>
        <v>376.66999999999996</v>
      </c>
      <c r="Q10" s="34">
        <f t="shared" ref="Q10:Q33" si="6">VLOOKUP($L10,$A$9:$I$35,7,FALSE)</f>
        <v>0</v>
      </c>
      <c r="R10" s="34">
        <f t="shared" ref="R10:R33" si="7">VLOOKUP($L10,$A$9:$I$35,8,FALSE)</f>
        <v>3.7450000000000001</v>
      </c>
      <c r="S10" s="34">
        <f t="shared" ref="S10:S33" si="8">VLOOKUP($L10,$A$9:$I$35,9,FALSE)</f>
        <v>0.14499999999999999</v>
      </c>
      <c r="T10" s="84">
        <f t="shared" ref="T10:T35" si="9">N10/$N$36</f>
        <v>0.12282691282068484</v>
      </c>
      <c r="U10" s="84">
        <f t="shared" ref="U10:U35" si="10">O10/$O$36</f>
        <v>8.6723111014065477E-2</v>
      </c>
      <c r="V10" s="84">
        <f t="shared" ref="V10:V35" si="11">P10/$P$36</f>
        <v>0.33821344072263293</v>
      </c>
      <c r="W10" s="84">
        <f t="shared" ref="W10:W35" si="12">Q10/$Q$36</f>
        <v>0</v>
      </c>
      <c r="X10" s="84">
        <f t="shared" ref="X10:X35" si="13">R10/$R$36</f>
        <v>4.1689394529728058E-2</v>
      </c>
      <c r="Y10" s="84">
        <f t="shared" ref="Y10:Y35" si="14">S10/$S$36</f>
        <v>1.2598945164177288E-3</v>
      </c>
    </row>
    <row r="11" spans="1:25">
      <c r="A11">
        <f t="shared" si="0"/>
        <v>1</v>
      </c>
      <c r="B11">
        <v>3</v>
      </c>
      <c r="C11" t="s">
        <v>122</v>
      </c>
      <c r="D11" s="31">
        <f t="shared" si="1"/>
        <v>1152.8510000000001</v>
      </c>
      <c r="E11" s="31">
        <f>SUMIFS(Таб[Потужність, МВт],Таб[Область],$C11,Таб[Тип],E$8)</f>
        <v>1123.018</v>
      </c>
      <c r="F11">
        <f>SUMIFS(Таб[Потужність, МВт],Таб[Область],$C11,Таб[Тип],F$8)</f>
        <v>0</v>
      </c>
      <c r="G11">
        <f>SUMIFS(Таб[Потужність, МВт],Таб[Область],$C11,Таб[Підтип],G$8)</f>
        <v>16</v>
      </c>
      <c r="H11">
        <f>SUMIFS(Таб[Потужність, МВт],Таб[Область],$C11,Таб[Підтип],H$8)</f>
        <v>13.702999999999999</v>
      </c>
      <c r="I11">
        <f>SUMIFS(Таб[Потужність, МВт],Таб[Область],$C11,Таб[Тип],I$8)</f>
        <v>0.13</v>
      </c>
      <c r="L11" s="33">
        <v>3</v>
      </c>
      <c r="M11" s="33" t="str">
        <f t="shared" si="2"/>
        <v xml:space="preserve">Миколаївська </v>
      </c>
      <c r="N11" s="34">
        <f t="shared" si="3"/>
        <v>872.58199999999999</v>
      </c>
      <c r="O11" s="34">
        <f t="shared" si="4"/>
        <v>706.91899999999987</v>
      </c>
      <c r="P11" s="34">
        <f t="shared" si="5"/>
        <v>152.1</v>
      </c>
      <c r="Q11" s="34">
        <f t="shared" si="6"/>
        <v>10.120000000000001</v>
      </c>
      <c r="R11" s="34">
        <f t="shared" si="7"/>
        <v>1.589</v>
      </c>
      <c r="S11" s="34">
        <f t="shared" si="8"/>
        <v>1.8540000000000001</v>
      </c>
      <c r="T11" s="84">
        <f t="shared" si="9"/>
        <v>0.12198407855455806</v>
      </c>
      <c r="U11" s="84">
        <f t="shared" si="10"/>
        <v>0.12309224339465663</v>
      </c>
      <c r="V11" s="84">
        <f t="shared" si="11"/>
        <v>0.13657117459291282</v>
      </c>
      <c r="W11" s="84">
        <f t="shared" si="12"/>
        <v>0.11045864349800259</v>
      </c>
      <c r="X11" s="84">
        <f t="shared" si="13"/>
        <v>1.768877113691265E-2</v>
      </c>
      <c r="Y11" s="84">
        <f t="shared" si="14"/>
        <v>1.6109271954748067E-2</v>
      </c>
    </row>
    <row r="12" spans="1:25">
      <c r="A12">
        <f t="shared" si="0"/>
        <v>20</v>
      </c>
      <c r="B12">
        <v>4</v>
      </c>
      <c r="C12" t="s">
        <v>56</v>
      </c>
      <c r="D12" s="31">
        <f t="shared" si="1"/>
        <v>16.109000000000002</v>
      </c>
      <c r="E12" s="31">
        <f>SUMIFS(Таб[Потужність, МВт],Таб[Область],$C12,Таб[Тип],E$8)</f>
        <v>0</v>
      </c>
      <c r="F12">
        <f>SUMIFS(Таб[Потужність, МВт],Таб[Область],$C12,Таб[Тип],F$8)</f>
        <v>13.5</v>
      </c>
      <c r="G12">
        <f>SUMIFS(Таб[Потужність, МВт],Таб[Область],$C12,Таб[Підтип],G$8)</f>
        <v>0</v>
      </c>
      <c r="H12">
        <f>SUMIFS(Таб[Потужність, МВт],Таб[Область],$C12,Таб[Підтип],H$8)</f>
        <v>2.609</v>
      </c>
      <c r="I12">
        <f>SUMIFS(Таб[Потужність, МВт],Таб[Область],$C12,Таб[Тип],I$8)</f>
        <v>0</v>
      </c>
      <c r="L12" s="33">
        <v>4</v>
      </c>
      <c r="M12" s="33" t="str">
        <f t="shared" si="2"/>
        <v xml:space="preserve">Запорізька  </v>
      </c>
      <c r="N12" s="34">
        <f t="shared" si="3"/>
        <v>831.39000000000021</v>
      </c>
      <c r="O12" s="34">
        <f t="shared" si="4"/>
        <v>327.17</v>
      </c>
      <c r="P12" s="34">
        <f t="shared" si="5"/>
        <v>497.83500000000015</v>
      </c>
      <c r="Q12" s="34">
        <f t="shared" si="6"/>
        <v>2.7</v>
      </c>
      <c r="R12" s="34">
        <f t="shared" si="7"/>
        <v>3.2009999999999996</v>
      </c>
      <c r="S12" s="34">
        <f t="shared" si="8"/>
        <v>0.48399999999999999</v>
      </c>
      <c r="T12" s="84">
        <f t="shared" si="9"/>
        <v>0.11622557314896945</v>
      </c>
      <c r="U12" s="84">
        <f t="shared" si="10"/>
        <v>5.6968463531790518E-2</v>
      </c>
      <c r="V12" s="84">
        <f t="shared" si="11"/>
        <v>0.44700795991757247</v>
      </c>
      <c r="W12" s="84">
        <f t="shared" si="12"/>
        <v>2.9470191447095551E-2</v>
      </c>
      <c r="X12" s="84">
        <f t="shared" si="13"/>
        <v>3.5633578608720823E-2</v>
      </c>
      <c r="Y12" s="84">
        <f t="shared" si="14"/>
        <v>4.2054410065253843E-3</v>
      </c>
    </row>
    <row r="13" spans="1:25">
      <c r="A13">
        <f t="shared" si="0"/>
        <v>13</v>
      </c>
      <c r="B13">
        <v>5</v>
      </c>
      <c r="C13" t="s">
        <v>176</v>
      </c>
      <c r="D13" s="31">
        <f t="shared" si="1"/>
        <v>120.47599999999998</v>
      </c>
      <c r="E13" s="31">
        <f>SUMIFS(Таб[Потужність, МВт],Таб[Область],$C13,Таб[Тип],E$8)</f>
        <v>108.82</v>
      </c>
      <c r="F13">
        <f>SUMIFS(Таб[Потужність, МВт],Таб[Область],$C13,Таб[Тип],F$8)</f>
        <v>0</v>
      </c>
      <c r="G13">
        <f>SUMIFS(Таб[Потужність, МВт],Таб[Область],$C13,Таб[Підтип],G$8)</f>
        <v>5.8979999999999997</v>
      </c>
      <c r="H13">
        <f>SUMIFS(Таб[Потужність, МВт],Таб[Область],$C13,Таб[Підтип],H$8)</f>
        <v>1.0629999999999999</v>
      </c>
      <c r="I13">
        <f>SUMIFS(Таб[Потужність, МВт],Таб[Область],$C13,Таб[Тип],I$8)</f>
        <v>4.6949999999999994</v>
      </c>
      <c r="L13" s="33">
        <v>5</v>
      </c>
      <c r="M13" s="33" t="str">
        <f t="shared" si="2"/>
        <v xml:space="preserve">Одеська </v>
      </c>
      <c r="N13" s="34">
        <f t="shared" si="3"/>
        <v>553.19499999999994</v>
      </c>
      <c r="O13" s="34">
        <f t="shared" si="4"/>
        <v>514.91300000000001</v>
      </c>
      <c r="P13" s="34">
        <f t="shared" si="5"/>
        <v>32.67</v>
      </c>
      <c r="Q13" s="34">
        <f t="shared" si="6"/>
        <v>0</v>
      </c>
      <c r="R13" s="34">
        <f t="shared" si="7"/>
        <v>4.7119999999999997</v>
      </c>
      <c r="S13" s="34">
        <f t="shared" si="8"/>
        <v>0.9</v>
      </c>
      <c r="T13" s="84">
        <f t="shared" si="9"/>
        <v>7.7334831953889419E-2</v>
      </c>
      <c r="U13" s="84">
        <f t="shared" si="10"/>
        <v>8.9659206108582232E-2</v>
      </c>
      <c r="V13" s="84">
        <f t="shared" si="11"/>
        <v>2.9334518566406721E-2</v>
      </c>
      <c r="W13" s="84">
        <f t="shared" si="12"/>
        <v>0</v>
      </c>
      <c r="X13" s="84">
        <f t="shared" si="13"/>
        <v>5.2454052609900825E-2</v>
      </c>
      <c r="Y13" s="84">
        <f t="shared" si="14"/>
        <v>7.8200349294893518E-3</v>
      </c>
    </row>
    <row r="14" spans="1:25">
      <c r="A14">
        <f t="shared" si="0"/>
        <v>12</v>
      </c>
      <c r="B14">
        <v>6</v>
      </c>
      <c r="C14" t="s">
        <v>233</v>
      </c>
      <c r="D14" s="31">
        <f t="shared" si="1"/>
        <v>262.82</v>
      </c>
      <c r="E14" s="31">
        <f>SUMIFS(Таб[Потужність, МВт],Таб[Область],$C14,Таб[Тип],E$8)</f>
        <v>245.50300000000001</v>
      </c>
      <c r="F14">
        <f>SUMIFS(Таб[Потужність, МВт],Таб[Область],$C14,Таб[Тип],F$8)</f>
        <v>0</v>
      </c>
      <c r="G14">
        <f>SUMIFS(Таб[Потужність, МВт],Таб[Область],$C14,Таб[Підтип],G$8)</f>
        <v>0</v>
      </c>
      <c r="H14">
        <f>SUMIFS(Таб[Потужність, МВт],Таб[Область],$C14,Таб[Підтип],H$8)</f>
        <v>1.6640000000000001</v>
      </c>
      <c r="I14">
        <f>SUMIFS(Таб[Потужність, МВт],Таб[Область],$C14,Таб[Тип],I$8)</f>
        <v>15.653000000000002</v>
      </c>
      <c r="L14" s="33">
        <v>6</v>
      </c>
      <c r="M14" s="33" t="str">
        <f t="shared" si="2"/>
        <v xml:space="preserve">Вінницька </v>
      </c>
      <c r="N14" s="34">
        <f t="shared" si="3"/>
        <v>393.33915865384603</v>
      </c>
      <c r="O14" s="34">
        <f t="shared" si="4"/>
        <v>352.21015865384601</v>
      </c>
      <c r="P14" s="34">
        <f t="shared" si="5"/>
        <v>0</v>
      </c>
      <c r="Q14" s="34">
        <f t="shared" si="6"/>
        <v>0</v>
      </c>
      <c r="R14" s="34">
        <f t="shared" si="7"/>
        <v>16.829000000000001</v>
      </c>
      <c r="S14" s="34">
        <f t="shared" si="8"/>
        <v>24.299999999999994</v>
      </c>
      <c r="T14" s="84">
        <f t="shared" si="9"/>
        <v>5.4987513870117112E-2</v>
      </c>
      <c r="U14" s="84">
        <f t="shared" si="10"/>
        <v>6.1328580183995403E-2</v>
      </c>
      <c r="V14" s="84">
        <f t="shared" si="11"/>
        <v>0</v>
      </c>
      <c r="W14" s="84">
        <f t="shared" si="12"/>
        <v>0</v>
      </c>
      <c r="X14" s="84">
        <f t="shared" si="13"/>
        <v>0.1873406730416004</v>
      </c>
      <c r="Y14" s="84">
        <f t="shared" si="14"/>
        <v>0.21114094309621245</v>
      </c>
    </row>
    <row r="15" spans="1:25">
      <c r="A15">
        <f t="shared" si="0"/>
        <v>4</v>
      </c>
      <c r="B15">
        <v>7</v>
      </c>
      <c r="C15" t="s">
        <v>69</v>
      </c>
      <c r="D15" s="31">
        <f t="shared" si="1"/>
        <v>831.39000000000021</v>
      </c>
      <c r="E15" s="31">
        <f>SUMIFS(Таб[Потужність, МВт],Таб[Область],$C15,Таб[Тип],E$8)</f>
        <v>327.17</v>
      </c>
      <c r="F15">
        <f>SUMIFS(Таб[Потужність, МВт],Таб[Область],$C15,Таб[Тип],F$8)</f>
        <v>497.83500000000015</v>
      </c>
      <c r="G15">
        <f>SUMIFS(Таб[Потужність, МВт],Таб[Область],$C15,Таб[Підтип],G$8)</f>
        <v>2.7</v>
      </c>
      <c r="H15">
        <f>SUMIFS(Таб[Потужність, МВт],Таб[Область],$C15,Таб[Підтип],H$8)</f>
        <v>3.2009999999999996</v>
      </c>
      <c r="I15">
        <f>SUMIFS(Таб[Потужність, МВт],Таб[Область],$C15,Таб[Тип],I$8)</f>
        <v>0.48399999999999999</v>
      </c>
      <c r="L15" s="33">
        <v>7</v>
      </c>
      <c r="M15" s="33" t="str">
        <f t="shared" si="2"/>
        <v xml:space="preserve">Львівська </v>
      </c>
      <c r="N15" s="34">
        <f t="shared" si="3"/>
        <v>370.38000000000005</v>
      </c>
      <c r="O15" s="34">
        <f t="shared" si="4"/>
        <v>333.46500000000009</v>
      </c>
      <c r="P15" s="34">
        <f t="shared" si="5"/>
        <v>33.9</v>
      </c>
      <c r="Q15" s="34">
        <f t="shared" si="6"/>
        <v>2.4</v>
      </c>
      <c r="R15" s="34">
        <f t="shared" si="7"/>
        <v>0</v>
      </c>
      <c r="S15" s="34">
        <f t="shared" si="8"/>
        <v>0.61499999999999999</v>
      </c>
      <c r="T15" s="84">
        <f t="shared" si="9"/>
        <v>5.1777899400901259E-2</v>
      </c>
      <c r="U15" s="84">
        <f t="shared" si="10"/>
        <v>5.8064580162082491E-2</v>
      </c>
      <c r="V15" s="84">
        <f t="shared" si="11"/>
        <v>3.0438940293883922E-2</v>
      </c>
      <c r="W15" s="84">
        <f t="shared" si="12"/>
        <v>2.6195725730751601E-2</v>
      </c>
      <c r="X15" s="84">
        <f t="shared" si="13"/>
        <v>0</v>
      </c>
      <c r="Y15" s="84">
        <f t="shared" si="14"/>
        <v>5.343690535151057E-3</v>
      </c>
    </row>
    <row r="16" spans="1:25">
      <c r="A16">
        <f t="shared" si="0"/>
        <v>11</v>
      </c>
      <c r="B16">
        <v>8</v>
      </c>
      <c r="C16" t="s">
        <v>65</v>
      </c>
      <c r="D16" s="31">
        <f t="shared" si="1"/>
        <v>287.35899999999992</v>
      </c>
      <c r="E16" s="31">
        <f>SUMIFS(Таб[Потужність, МВт],Таб[Область],$C16,Таб[Тип],E$8)</f>
        <v>281.07799999999992</v>
      </c>
      <c r="F16">
        <f>SUMIFS(Таб[Потужність, МВт],Таб[Область],$C16,Таб[Тип],F$8)</f>
        <v>0.6</v>
      </c>
      <c r="G16">
        <f>SUMIFS(Таб[Потужність, МВт],Таб[Область],$C16,Таб[Підтип],G$8)</f>
        <v>0.15000000000000002</v>
      </c>
      <c r="H16">
        <f>SUMIFS(Таб[Потужність, МВт],Таб[Область],$C16,Таб[Підтип],H$8)</f>
        <v>1.8260000000000001</v>
      </c>
      <c r="I16">
        <f>SUMIFS(Таб[Потужність, МВт],Таб[Область],$C16,Таб[Тип],I$8)</f>
        <v>3.7050000000000001</v>
      </c>
      <c r="L16" s="33">
        <v>8</v>
      </c>
      <c r="M16" s="33" t="str">
        <f t="shared" si="2"/>
        <v xml:space="preserve">Хмельницька </v>
      </c>
      <c r="N16" s="34">
        <f t="shared" si="3"/>
        <v>351.65299999999991</v>
      </c>
      <c r="O16" s="34">
        <f t="shared" si="4"/>
        <v>325.38099999999991</v>
      </c>
      <c r="P16" s="34">
        <f t="shared" si="5"/>
        <v>0</v>
      </c>
      <c r="Q16" s="34">
        <f t="shared" si="6"/>
        <v>1.6</v>
      </c>
      <c r="R16" s="34">
        <f t="shared" si="7"/>
        <v>17.117999999999999</v>
      </c>
      <c r="S16" s="34">
        <f t="shared" si="8"/>
        <v>7.554000000000002</v>
      </c>
      <c r="T16" s="84">
        <f t="shared" si="9"/>
        <v>4.9159926718573145E-2</v>
      </c>
      <c r="U16" s="84">
        <f t="shared" si="10"/>
        <v>5.6656953976335009E-2</v>
      </c>
      <c r="V16" s="84">
        <f t="shared" si="11"/>
        <v>0</v>
      </c>
      <c r="W16" s="84">
        <f t="shared" si="12"/>
        <v>1.74638171538344E-2</v>
      </c>
      <c r="X16" s="84">
        <f t="shared" si="13"/>
        <v>0.19055782524963547</v>
      </c>
      <c r="Y16" s="84">
        <f t="shared" si="14"/>
        <v>6.5636159841513983E-2</v>
      </c>
    </row>
    <row r="17" spans="1:25">
      <c r="A17">
        <f t="shared" si="0"/>
        <v>10</v>
      </c>
      <c r="B17">
        <v>9</v>
      </c>
      <c r="C17" t="s">
        <v>107</v>
      </c>
      <c r="D17" s="31">
        <f t="shared" si="1"/>
        <v>330.95600000000002</v>
      </c>
      <c r="E17" s="31">
        <f>SUMIFS(Таб[Потужність, МВт],Таб[Область],$C17,Таб[Тип],E$8)</f>
        <v>292.85000000000002</v>
      </c>
      <c r="F17">
        <f>SUMIFS(Таб[Потужність, МВт],Таб[Область],$C17,Таб[Тип],F$8)</f>
        <v>0.45</v>
      </c>
      <c r="G17">
        <f>SUMIFS(Таб[Потужність, МВт],Таб[Область],$C17,Таб[Підтип],G$8)</f>
        <v>24</v>
      </c>
      <c r="H17">
        <f>SUMIFS(Таб[Потужність, МВт],Таб[Область],$C17,Таб[Підтип],H$8)</f>
        <v>10.036999999999999</v>
      </c>
      <c r="I17">
        <f>SUMIFS(Таб[Потужність, МВт],Таб[Область],$C17,Таб[Тип],I$8)</f>
        <v>3.6190000000000002</v>
      </c>
      <c r="L17" s="33">
        <v>9</v>
      </c>
      <c r="M17" s="33" t="str">
        <f t="shared" si="2"/>
        <v xml:space="preserve">Кіровоградська </v>
      </c>
      <c r="N17" s="34">
        <f t="shared" si="3"/>
        <v>346.88899999999995</v>
      </c>
      <c r="O17" s="34">
        <f t="shared" si="4"/>
        <v>328.31599999999997</v>
      </c>
      <c r="P17" s="34">
        <f t="shared" si="5"/>
        <v>0</v>
      </c>
      <c r="Q17" s="34">
        <f t="shared" si="6"/>
        <v>1.75</v>
      </c>
      <c r="R17" s="34">
        <f t="shared" si="7"/>
        <v>0.63500000000000001</v>
      </c>
      <c r="S17" s="34">
        <f t="shared" si="8"/>
        <v>16.187999999999999</v>
      </c>
      <c r="T17" s="84">
        <f t="shared" si="9"/>
        <v>4.8493935269936908E-2</v>
      </c>
      <c r="U17" s="84">
        <f t="shared" si="10"/>
        <v>5.7168010737241592E-2</v>
      </c>
      <c r="V17" s="84">
        <f t="shared" si="11"/>
        <v>0</v>
      </c>
      <c r="W17" s="84">
        <f t="shared" si="12"/>
        <v>1.9101050012006376E-2</v>
      </c>
      <c r="X17" s="84">
        <f t="shared" si="13"/>
        <v>7.0688292460286562E-3</v>
      </c>
      <c r="Y17" s="84">
        <f t="shared" si="14"/>
        <v>0.14065636159841513</v>
      </c>
    </row>
    <row r="18" spans="1:25">
      <c r="A18">
        <f t="shared" si="0"/>
        <v>9</v>
      </c>
      <c r="B18">
        <v>10</v>
      </c>
      <c r="C18" t="s">
        <v>136</v>
      </c>
      <c r="D18" s="31">
        <f t="shared" si="1"/>
        <v>346.88899999999995</v>
      </c>
      <c r="E18" s="31">
        <f>SUMIFS(Таб[Потужність, МВт],Таб[Область],$C18,Таб[Тип],E$8)</f>
        <v>328.31599999999997</v>
      </c>
      <c r="F18">
        <f>SUMIFS(Таб[Потужність, МВт],Таб[Область],$C18,Таб[Тип],F$8)</f>
        <v>0</v>
      </c>
      <c r="G18">
        <f>SUMIFS(Таб[Потужність, МВт],Таб[Область],$C18,Таб[Підтип],G$8)</f>
        <v>1.75</v>
      </c>
      <c r="H18">
        <f>SUMIFS(Таб[Потужність, МВт],Таб[Область],$C18,Таб[Підтип],H$8)</f>
        <v>0.63500000000000001</v>
      </c>
      <c r="I18">
        <f>SUMIFS(Таб[Потужність, МВт],Таб[Область],$C18,Таб[Тип],I$8)</f>
        <v>16.187999999999999</v>
      </c>
      <c r="L18" s="33">
        <v>10</v>
      </c>
      <c r="M18" s="33" t="str">
        <f t="shared" si="2"/>
        <v xml:space="preserve">Київська </v>
      </c>
      <c r="N18" s="34">
        <f t="shared" si="3"/>
        <v>330.95600000000002</v>
      </c>
      <c r="O18" s="34">
        <f t="shared" si="4"/>
        <v>292.85000000000002</v>
      </c>
      <c r="P18" s="34">
        <f t="shared" si="5"/>
        <v>0.45</v>
      </c>
      <c r="Q18" s="34">
        <f t="shared" si="6"/>
        <v>24</v>
      </c>
      <c r="R18" s="34">
        <f t="shared" si="7"/>
        <v>10.036999999999999</v>
      </c>
      <c r="S18" s="34">
        <f t="shared" si="8"/>
        <v>3.6190000000000002</v>
      </c>
      <c r="T18" s="84">
        <f t="shared" si="9"/>
        <v>4.6266554549718328E-2</v>
      </c>
      <c r="U18" s="84">
        <f t="shared" si="10"/>
        <v>5.0992494865925518E-2</v>
      </c>
      <c r="V18" s="84">
        <f t="shared" si="11"/>
        <v>4.0405672956483088E-4</v>
      </c>
      <c r="W18" s="84">
        <f t="shared" si="12"/>
        <v>0.26195725730751601</v>
      </c>
      <c r="X18" s="84">
        <f t="shared" si="13"/>
        <v>0.11173203014549545</v>
      </c>
      <c r="Y18" s="84">
        <f t="shared" si="14"/>
        <v>3.1445229344246629E-2</v>
      </c>
    </row>
    <row r="19" spans="1:25">
      <c r="A19">
        <f t="shared" si="0"/>
        <v>24</v>
      </c>
      <c r="B19">
        <v>11</v>
      </c>
      <c r="C19" t="s">
        <v>85</v>
      </c>
      <c r="D19" s="31">
        <f t="shared" si="1"/>
        <v>1.8279999999999998</v>
      </c>
      <c r="E19" s="31">
        <f>SUMIFS(Таб[Потужність, МВт],Таб[Область],$C19,Таб[Тип],E$8)</f>
        <v>1.8279999999999998</v>
      </c>
      <c r="F19">
        <f>SUMIFS(Таб[Потужність, МВт],Таб[Область],$C19,Таб[Тип],F$8)</f>
        <v>0</v>
      </c>
      <c r="G19">
        <f>SUMIFS(Таб[Потужність, МВт],Таб[Область],$C19,Таб[Підтип],G$8)</f>
        <v>0</v>
      </c>
      <c r="H19">
        <f>SUMIFS(Таб[Потужність, МВт],Таб[Область],$C19,Таб[Підтип],H$8)</f>
        <v>0</v>
      </c>
      <c r="I19">
        <f>SUMIFS(Таб[Потужність, МВт],Таб[Область],$C19,Таб[Тип],I$8)</f>
        <v>0</v>
      </c>
      <c r="L19" s="33">
        <v>11</v>
      </c>
      <c r="M19" s="33" t="str">
        <f t="shared" si="2"/>
        <v xml:space="preserve">Івано-Франківська </v>
      </c>
      <c r="N19" s="34">
        <f t="shared" si="3"/>
        <v>287.35899999999992</v>
      </c>
      <c r="O19" s="34">
        <f t="shared" si="4"/>
        <v>281.07799999999992</v>
      </c>
      <c r="P19" s="34">
        <f t="shared" si="5"/>
        <v>0.6</v>
      </c>
      <c r="Q19" s="34">
        <f t="shared" si="6"/>
        <v>0.15000000000000002</v>
      </c>
      <c r="R19" s="34">
        <f t="shared" si="7"/>
        <v>1.8260000000000001</v>
      </c>
      <c r="S19" s="34">
        <f t="shared" si="8"/>
        <v>3.7050000000000001</v>
      </c>
      <c r="T19" s="84">
        <f t="shared" si="9"/>
        <v>4.0171838095857171E-2</v>
      </c>
      <c r="U19" s="84">
        <f t="shared" si="10"/>
        <v>4.8942695823543138E-2</v>
      </c>
      <c r="V19" s="84">
        <f t="shared" si="11"/>
        <v>5.3874230608644106E-4</v>
      </c>
      <c r="W19" s="84">
        <f t="shared" si="12"/>
        <v>1.6372328581719753E-3</v>
      </c>
      <c r="X19" s="84">
        <f t="shared" si="13"/>
        <v>2.0327058587792639E-2</v>
      </c>
      <c r="Y19" s="84">
        <f t="shared" si="14"/>
        <v>3.2192477126397834E-2</v>
      </c>
    </row>
    <row r="20" spans="1:25">
      <c r="A20">
        <f t="shared" si="0"/>
        <v>7</v>
      </c>
      <c r="B20">
        <v>12</v>
      </c>
      <c r="C20" t="s">
        <v>98</v>
      </c>
      <c r="D20" s="31">
        <f t="shared" si="1"/>
        <v>370.38000000000005</v>
      </c>
      <c r="E20" s="31">
        <f>SUMIFS(Таб[Потужність, МВт],Таб[Область],$C20,Таб[Тип],E$8)</f>
        <v>333.46500000000009</v>
      </c>
      <c r="F20">
        <f>SUMIFS(Таб[Потужність, МВт],Таб[Область],$C20,Таб[Тип],F$8)</f>
        <v>33.9</v>
      </c>
      <c r="G20">
        <f>SUMIFS(Таб[Потужність, МВт],Таб[Область],$C20,Таб[Підтип],G$8)</f>
        <v>2.4</v>
      </c>
      <c r="H20">
        <f>SUMIFS(Таб[Потужність, МВт],Таб[Область],$C20,Таб[Підтип],H$8)</f>
        <v>0</v>
      </c>
      <c r="I20">
        <f>SUMIFS(Таб[Потужність, МВт],Таб[Область],$C20,Таб[Тип],I$8)</f>
        <v>0.61499999999999999</v>
      </c>
      <c r="L20" s="33">
        <v>12</v>
      </c>
      <c r="M20" s="33" t="str">
        <f t="shared" si="2"/>
        <v xml:space="preserve">Закарпатська </v>
      </c>
      <c r="N20" s="34">
        <f t="shared" si="3"/>
        <v>262.82</v>
      </c>
      <c r="O20" s="34">
        <f t="shared" si="4"/>
        <v>245.50300000000001</v>
      </c>
      <c r="P20" s="34">
        <f t="shared" si="5"/>
        <v>0</v>
      </c>
      <c r="Q20" s="34">
        <f t="shared" si="6"/>
        <v>0</v>
      </c>
      <c r="R20" s="34">
        <f t="shared" si="7"/>
        <v>1.6640000000000001</v>
      </c>
      <c r="S20" s="34">
        <f t="shared" si="8"/>
        <v>15.653000000000002</v>
      </c>
      <c r="T20" s="84">
        <f t="shared" si="9"/>
        <v>3.6741367029928362E-2</v>
      </c>
      <c r="U20" s="84">
        <f t="shared" si="10"/>
        <v>4.2748200331464273E-2</v>
      </c>
      <c r="V20" s="84">
        <f t="shared" si="11"/>
        <v>0</v>
      </c>
      <c r="W20" s="84">
        <f t="shared" si="12"/>
        <v>0</v>
      </c>
      <c r="X20" s="84">
        <f t="shared" si="13"/>
        <v>1.8523672228963284E-2</v>
      </c>
      <c r="Y20" s="84">
        <f t="shared" si="14"/>
        <v>0.13600778527921872</v>
      </c>
    </row>
    <row r="21" spans="1:25">
      <c r="A21">
        <f t="shared" si="0"/>
        <v>3</v>
      </c>
      <c r="B21">
        <v>13</v>
      </c>
      <c r="C21" t="s">
        <v>82</v>
      </c>
      <c r="D21" s="31">
        <f t="shared" si="1"/>
        <v>872.58199999999999</v>
      </c>
      <c r="E21" s="31">
        <f>SUMIFS(Таб[Потужність, МВт],Таб[Область],$C21,Таб[Тип],E$8)</f>
        <v>706.91899999999987</v>
      </c>
      <c r="F21">
        <f>SUMIFS(Таб[Потужність, МВт],Таб[Область],$C21,Таб[Тип],F$8)</f>
        <v>152.1</v>
      </c>
      <c r="G21">
        <f>SUMIFS(Таб[Потужність, МВт],Таб[Область],$C21,Таб[Підтип],G$8)</f>
        <v>10.120000000000001</v>
      </c>
      <c r="H21">
        <f>SUMIFS(Таб[Потужність, МВт],Таб[Область],$C21,Таб[Підтип],H$8)</f>
        <v>1.589</v>
      </c>
      <c r="I21">
        <f>SUMIFS(Таб[Потужність, МВт],Таб[Область],$C21,Таб[Тип],I$8)</f>
        <v>1.8540000000000001</v>
      </c>
      <c r="L21" s="33">
        <v>13</v>
      </c>
      <c r="M21" s="33" t="str">
        <f t="shared" si="2"/>
        <v xml:space="preserve">Житомирська </v>
      </c>
      <c r="N21" s="34">
        <f t="shared" si="3"/>
        <v>120.47599999999998</v>
      </c>
      <c r="O21" s="34">
        <f t="shared" si="4"/>
        <v>108.82</v>
      </c>
      <c r="P21" s="34">
        <f t="shared" si="5"/>
        <v>0</v>
      </c>
      <c r="Q21" s="34">
        <f t="shared" si="6"/>
        <v>5.8979999999999997</v>
      </c>
      <c r="R21" s="34">
        <f t="shared" si="7"/>
        <v>1.0629999999999999</v>
      </c>
      <c r="S21" s="34">
        <f t="shared" si="8"/>
        <v>4.6949999999999994</v>
      </c>
      <c r="T21" s="84">
        <f t="shared" si="9"/>
        <v>1.6842146466393915E-2</v>
      </c>
      <c r="U21" s="84">
        <f t="shared" si="10"/>
        <v>1.8948278269796875E-2</v>
      </c>
      <c r="V21" s="84">
        <f t="shared" si="11"/>
        <v>0</v>
      </c>
      <c r="W21" s="84">
        <f t="shared" si="12"/>
        <v>6.4375995983322054E-2</v>
      </c>
      <c r="X21" s="84">
        <f t="shared" si="13"/>
        <v>1.1833331477997576E-2</v>
      </c>
      <c r="Y21" s="84">
        <f t="shared" si="14"/>
        <v>4.0794515548836112E-2</v>
      </c>
    </row>
    <row r="22" spans="1:25">
      <c r="A22">
        <f t="shared" si="0"/>
        <v>5</v>
      </c>
      <c r="B22">
        <v>14</v>
      </c>
      <c r="C22" t="s">
        <v>101</v>
      </c>
      <c r="D22" s="31">
        <f t="shared" si="1"/>
        <v>553.19499999999994</v>
      </c>
      <c r="E22" s="31">
        <f>SUMIFS(Таб[Потужність, МВт],Таб[Область],$C22,Таб[Тип],E$8)</f>
        <v>514.91300000000001</v>
      </c>
      <c r="F22">
        <f>SUMIFS(Таб[Потужність, МВт],Таб[Область],$C22,Таб[Тип],F$8)</f>
        <v>32.67</v>
      </c>
      <c r="G22">
        <f>SUMIFS(Таб[Потужність, МВт],Таб[Область],$C22,Таб[Підтип],G$8)</f>
        <v>0</v>
      </c>
      <c r="H22">
        <f>SUMIFS(Таб[Потужність, МВт],Таб[Область],$C22,Таб[Підтип],H$8)</f>
        <v>4.7119999999999997</v>
      </c>
      <c r="I22">
        <f>SUMIFS(Таб[Потужність, МВт],Таб[Область],$C22,Таб[Тип],I$8)</f>
        <v>0.9</v>
      </c>
      <c r="L22" s="33">
        <v>14</v>
      </c>
      <c r="M22" s="33" t="str">
        <f t="shared" si="2"/>
        <v xml:space="preserve">Черкаська </v>
      </c>
      <c r="N22" s="34">
        <f t="shared" si="3"/>
        <v>92.337999999999994</v>
      </c>
      <c r="O22" s="34">
        <f t="shared" si="4"/>
        <v>67.084999999999994</v>
      </c>
      <c r="P22" s="34">
        <f t="shared" si="5"/>
        <v>0</v>
      </c>
      <c r="Q22" s="34">
        <f t="shared" si="6"/>
        <v>16</v>
      </c>
      <c r="R22" s="34">
        <f t="shared" si="7"/>
        <v>0.6</v>
      </c>
      <c r="S22" s="34">
        <f t="shared" si="8"/>
        <v>8.6530000000000005</v>
      </c>
      <c r="T22" s="84">
        <f t="shared" si="9"/>
        <v>1.2908547099952533E-2</v>
      </c>
      <c r="U22" s="84">
        <f t="shared" si="10"/>
        <v>1.1681173017178121E-2</v>
      </c>
      <c r="V22" s="84">
        <f t="shared" si="11"/>
        <v>0</v>
      </c>
      <c r="W22" s="84">
        <f t="shared" si="12"/>
        <v>0.17463817153834399</v>
      </c>
      <c r="X22" s="84">
        <f t="shared" si="13"/>
        <v>6.6792087364050288E-3</v>
      </c>
      <c r="Y22" s="84">
        <f t="shared" si="14"/>
        <v>7.5185291383190411E-2</v>
      </c>
    </row>
    <row r="23" spans="1:25">
      <c r="A23">
        <f t="shared" si="0"/>
        <v>17</v>
      </c>
      <c r="B23">
        <v>15</v>
      </c>
      <c r="C23" t="s">
        <v>263</v>
      </c>
      <c r="D23" s="31">
        <f t="shared" si="1"/>
        <v>38.607999999999997</v>
      </c>
      <c r="E23" s="31">
        <f>SUMIFS(Таб[Потужність, МВт],Таб[Область],$C23,Таб[Тип],E$8)</f>
        <v>32.318999999999996</v>
      </c>
      <c r="F23">
        <f>SUMIFS(Таб[Потужність, МВт],Таб[Область],$C23,Таб[Тип],F$8)</f>
        <v>0</v>
      </c>
      <c r="G23">
        <f>SUMIFS(Таб[Потужність, МВт],Таб[Область],$C23,Таб[Підтип],G$8)</f>
        <v>0</v>
      </c>
      <c r="H23">
        <f>SUMIFS(Таб[Потужність, МВт],Таб[Область],$C23,Таб[Підтип],H$8)</f>
        <v>1.8479999999999999</v>
      </c>
      <c r="I23">
        <f>SUMIFS(Таб[Потужність, МВт],Таб[Область],$C23,Таб[Тип],I$8)</f>
        <v>4.4409999999999998</v>
      </c>
      <c r="L23" s="33">
        <v>15</v>
      </c>
      <c r="M23" s="33" t="str">
        <f t="shared" si="2"/>
        <v>Тернопільська</v>
      </c>
      <c r="N23" s="34">
        <f t="shared" si="3"/>
        <v>82.971000000000004</v>
      </c>
      <c r="O23" s="34">
        <f t="shared" si="4"/>
        <v>63.531000000000006</v>
      </c>
      <c r="P23" s="34">
        <f t="shared" si="5"/>
        <v>5.98</v>
      </c>
      <c r="Q23" s="34">
        <f t="shared" si="6"/>
        <v>0</v>
      </c>
      <c r="R23" s="34">
        <f t="shared" si="7"/>
        <v>0</v>
      </c>
      <c r="S23" s="34">
        <f t="shared" si="8"/>
        <v>13.459999999999999</v>
      </c>
      <c r="T23" s="84">
        <f t="shared" si="9"/>
        <v>1.159907147036065E-2</v>
      </c>
      <c r="U23" s="84">
        <f t="shared" si="10"/>
        <v>1.1062332905334179E-2</v>
      </c>
      <c r="V23" s="84">
        <f t="shared" si="11"/>
        <v>5.3694649839948639E-3</v>
      </c>
      <c r="W23" s="84">
        <f t="shared" si="12"/>
        <v>0</v>
      </c>
      <c r="X23" s="84">
        <f t="shared" si="13"/>
        <v>0</v>
      </c>
      <c r="Y23" s="84">
        <f t="shared" si="14"/>
        <v>0.11695296683436296</v>
      </c>
    </row>
    <row r="24" spans="1:25">
      <c r="A24">
        <f t="shared" si="0"/>
        <v>22</v>
      </c>
      <c r="B24">
        <v>16</v>
      </c>
      <c r="C24" t="s">
        <v>321</v>
      </c>
      <c r="D24" s="31">
        <f t="shared" si="1"/>
        <v>5.5869999999999997</v>
      </c>
      <c r="E24" s="31">
        <f>SUMIFS(Таб[Потужність, МВт],Таб[Область],$C24,Таб[Тип],E$8)</f>
        <v>3.044</v>
      </c>
      <c r="F24">
        <f>SUMIFS(Таб[Потужність, МВт],Таб[Область],$C24,Таб[Тип],F$8)</f>
        <v>0</v>
      </c>
      <c r="G24">
        <f>SUMIFS(Таб[Потужність, МВт],Таб[Область],$C24,Таб[Підтип],G$8)</f>
        <v>0</v>
      </c>
      <c r="H24">
        <f>SUMIFS(Таб[Потужність, МВт],Таб[Область],$C24,Таб[Підтип],H$8)</f>
        <v>1.1840000000000002</v>
      </c>
      <c r="I24">
        <f>SUMIFS(Таб[Потужність, МВт],Таб[Область],$C24,Таб[Тип],I$8)</f>
        <v>1.359</v>
      </c>
      <c r="L24" s="33">
        <v>16</v>
      </c>
      <c r="M24" s="33" t="str">
        <f t="shared" si="2"/>
        <v xml:space="preserve">Чернівецька </v>
      </c>
      <c r="N24" s="34">
        <f t="shared" si="3"/>
        <v>78.03</v>
      </c>
      <c r="O24" s="34">
        <f t="shared" si="4"/>
        <v>76.432000000000002</v>
      </c>
      <c r="P24" s="34">
        <f t="shared" si="5"/>
        <v>0</v>
      </c>
      <c r="Q24" s="34">
        <f t="shared" si="6"/>
        <v>0</v>
      </c>
      <c r="R24" s="34">
        <f t="shared" si="7"/>
        <v>0</v>
      </c>
      <c r="S24" s="34">
        <f t="shared" si="8"/>
        <v>1.5979999999999999</v>
      </c>
      <c r="T24" s="84">
        <f t="shared" si="9"/>
        <v>1.0908336006945097E-2</v>
      </c>
      <c r="U24" s="84">
        <f t="shared" si="10"/>
        <v>1.3308719028828476E-2</v>
      </c>
      <c r="V24" s="84">
        <f t="shared" si="11"/>
        <v>0</v>
      </c>
      <c r="W24" s="84">
        <f t="shared" si="12"/>
        <v>0</v>
      </c>
      <c r="X24" s="84">
        <f t="shared" si="13"/>
        <v>0</v>
      </c>
      <c r="Y24" s="84">
        <f t="shared" si="14"/>
        <v>1.3884906463693315E-2</v>
      </c>
    </row>
    <row r="25" spans="1:25">
      <c r="A25">
        <f t="shared" si="0"/>
        <v>21</v>
      </c>
      <c r="B25">
        <v>17</v>
      </c>
      <c r="C25" t="s">
        <v>1658</v>
      </c>
      <c r="D25" s="31">
        <f t="shared" si="1"/>
        <v>12.214</v>
      </c>
      <c r="E25" s="31">
        <f>SUMIFS(Таб[Потужність, МВт],Таб[Область],$C25,Таб[Тип],E$8)</f>
        <v>10.701000000000001</v>
      </c>
      <c r="F25">
        <f>SUMIFS(Таб[Потужність, МВт],Таб[Область],$C25,Таб[Тип],F$8)</f>
        <v>0</v>
      </c>
      <c r="G25">
        <f>SUMIFS(Таб[Потужність, МВт],Таб[Область],$C25,Таб[Підтип],G$8)</f>
        <v>0</v>
      </c>
      <c r="H25">
        <f>SUMIFS(Таб[Потужність, МВт],Таб[Область],$C25,Таб[Підтип],H$8)</f>
        <v>0</v>
      </c>
      <c r="I25">
        <f>SUMIFS(Таб[Потужність, МВт],Таб[Область],$C25,Таб[Тип],I$8)</f>
        <v>1.5129999999999999</v>
      </c>
      <c r="L25" s="33">
        <v>17</v>
      </c>
      <c r="M25" s="33" t="str">
        <f t="shared" si="2"/>
        <v xml:space="preserve">Полтавська  </v>
      </c>
      <c r="N25" s="34">
        <f t="shared" si="3"/>
        <v>38.607999999999997</v>
      </c>
      <c r="O25" s="34">
        <f t="shared" si="4"/>
        <v>32.318999999999996</v>
      </c>
      <c r="P25" s="34">
        <f t="shared" si="5"/>
        <v>0</v>
      </c>
      <c r="Q25" s="34">
        <f t="shared" si="6"/>
        <v>0</v>
      </c>
      <c r="R25" s="34">
        <f t="shared" si="7"/>
        <v>1.8479999999999999</v>
      </c>
      <c r="S25" s="34">
        <f t="shared" si="8"/>
        <v>4.4409999999999998</v>
      </c>
      <c r="T25" s="84">
        <f t="shared" si="9"/>
        <v>5.3972707491495098E-3</v>
      </c>
      <c r="U25" s="84">
        <f t="shared" si="10"/>
        <v>5.6275446186506628E-3</v>
      </c>
      <c r="V25" s="84">
        <f t="shared" si="11"/>
        <v>0</v>
      </c>
      <c r="W25" s="84">
        <f t="shared" si="12"/>
        <v>0</v>
      </c>
      <c r="X25" s="84">
        <f t="shared" si="13"/>
        <v>2.0571962908127489E-2</v>
      </c>
      <c r="Y25" s="84">
        <f t="shared" si="14"/>
        <v>3.8587527913180236E-2</v>
      </c>
    </row>
    <row r="26" spans="1:25">
      <c r="A26">
        <f t="shared" si="0"/>
        <v>15</v>
      </c>
      <c r="B26">
        <v>18</v>
      </c>
      <c r="C26" t="s">
        <v>62</v>
      </c>
      <c r="D26" s="31">
        <f t="shared" si="1"/>
        <v>82.971000000000004</v>
      </c>
      <c r="E26" s="31">
        <f>SUMIFS(Таб[Потужність, МВт],Таб[Область],$C26,Таб[Тип],E$8)</f>
        <v>63.531000000000006</v>
      </c>
      <c r="F26">
        <f>SUMIFS(Таб[Потужність, МВт],Таб[Область],$C26,Таб[Тип],F$8)</f>
        <v>5.98</v>
      </c>
      <c r="G26">
        <f>SUMIFS(Таб[Потужність, МВт],Таб[Область],$C26,Таб[Підтип],G$8)</f>
        <v>0</v>
      </c>
      <c r="H26">
        <f>SUMIFS(Таб[Потужність, МВт],Таб[Область],$C26,Таб[Підтип],H$8)</f>
        <v>0</v>
      </c>
      <c r="I26">
        <f>SUMIFS(Таб[Потужність, МВт],Таб[Область],$C26,Таб[Тип],I$8)</f>
        <v>13.459999999999999</v>
      </c>
      <c r="L26" s="33">
        <v>18</v>
      </c>
      <c r="M26" s="33" t="str">
        <f t="shared" si="2"/>
        <v xml:space="preserve">Харківська </v>
      </c>
      <c r="N26" s="34">
        <f t="shared" si="3"/>
        <v>36.019999999999996</v>
      </c>
      <c r="O26" s="34">
        <f t="shared" si="4"/>
        <v>23.063999999999993</v>
      </c>
      <c r="P26" s="34">
        <f t="shared" si="5"/>
        <v>0</v>
      </c>
      <c r="Q26" s="34">
        <f t="shared" si="6"/>
        <v>7</v>
      </c>
      <c r="R26" s="34">
        <f t="shared" si="7"/>
        <v>1.9079999999999999</v>
      </c>
      <c r="S26" s="34">
        <f t="shared" si="8"/>
        <v>4.048</v>
      </c>
      <c r="T26" s="84">
        <f t="shared" si="9"/>
        <v>5.0354769059356951E-3</v>
      </c>
      <c r="U26" s="84">
        <f t="shared" si="10"/>
        <v>4.0160181034239566E-3</v>
      </c>
      <c r="V26" s="84">
        <f t="shared" si="11"/>
        <v>0</v>
      </c>
      <c r="W26" s="84">
        <f t="shared" si="12"/>
        <v>7.6404200048025506E-2</v>
      </c>
      <c r="X26" s="84">
        <f t="shared" si="13"/>
        <v>2.1239883781767992E-2</v>
      </c>
      <c r="Y26" s="84">
        <f t="shared" si="14"/>
        <v>3.517277932730322E-2</v>
      </c>
    </row>
    <row r="27" spans="1:25">
      <c r="A27">
        <f t="shared" si="0"/>
        <v>18</v>
      </c>
      <c r="B27">
        <v>19</v>
      </c>
      <c r="C27" t="s">
        <v>185</v>
      </c>
      <c r="D27" s="31">
        <f t="shared" si="1"/>
        <v>36.019999999999996</v>
      </c>
      <c r="E27" s="31">
        <f>SUMIFS(Таб[Потужність, МВт],Таб[Область],$C27,Таб[Тип],E$8)</f>
        <v>23.063999999999993</v>
      </c>
      <c r="F27">
        <f>SUMIFS(Таб[Потужність, МВт],Таб[Область],$C27,Таб[Тип],F$8)</f>
        <v>0</v>
      </c>
      <c r="G27">
        <f>SUMIFS(Таб[Потужність, МВт],Таб[Область],$C27,Таб[Підтип],G$8)</f>
        <v>7</v>
      </c>
      <c r="H27">
        <f>SUMIFS(Таб[Потужність, МВт],Таб[Область],$C27,Таб[Підтип],H$8)</f>
        <v>1.9079999999999999</v>
      </c>
      <c r="I27">
        <f>SUMIFS(Таб[Потужність, МВт],Таб[Область],$C27,Таб[Тип],I$8)</f>
        <v>4.048</v>
      </c>
      <c r="L27" s="33">
        <v>19</v>
      </c>
      <c r="M27" s="33" t="str">
        <f t="shared" si="2"/>
        <v xml:space="preserve">Чернігівська </v>
      </c>
      <c r="N27" s="34">
        <f t="shared" si="3"/>
        <v>32.86</v>
      </c>
      <c r="O27" s="34">
        <f t="shared" si="4"/>
        <v>23.455000000000005</v>
      </c>
      <c r="P27" s="34">
        <f t="shared" si="5"/>
        <v>0</v>
      </c>
      <c r="Q27" s="34">
        <f t="shared" si="6"/>
        <v>4</v>
      </c>
      <c r="R27" s="34">
        <f t="shared" si="7"/>
        <v>5.23</v>
      </c>
      <c r="S27" s="34">
        <f t="shared" si="8"/>
        <v>0.17499999999999999</v>
      </c>
      <c r="T27" s="84">
        <f t="shared" si="9"/>
        <v>4.5937193539435581E-3</v>
      </c>
      <c r="U27" s="84">
        <f t="shared" si="10"/>
        <v>4.0841009632244605E-3</v>
      </c>
      <c r="V27" s="84">
        <f t="shared" si="11"/>
        <v>0</v>
      </c>
      <c r="W27" s="84">
        <f t="shared" si="12"/>
        <v>4.3659542884585997E-2</v>
      </c>
      <c r="X27" s="84">
        <f t="shared" si="13"/>
        <v>5.822043615233051E-2</v>
      </c>
      <c r="Y27" s="84">
        <f t="shared" si="14"/>
        <v>1.5205623474007072E-3</v>
      </c>
    </row>
    <row r="28" spans="1:25">
      <c r="A28">
        <f t="shared" si="0"/>
        <v>2</v>
      </c>
      <c r="B28">
        <v>20</v>
      </c>
      <c r="C28" t="s">
        <v>73</v>
      </c>
      <c r="D28" s="31">
        <f t="shared" si="1"/>
        <v>878.61099999999999</v>
      </c>
      <c r="E28" s="31">
        <f>SUMIFS(Таб[Потужність, МВт],Таб[Область],$C28,Таб[Тип],E$8)</f>
        <v>498.0510000000001</v>
      </c>
      <c r="F28">
        <f>SUMIFS(Таб[Потужність, МВт],Таб[Область],$C28,Таб[Тип],F$8)</f>
        <v>376.66999999999996</v>
      </c>
      <c r="G28">
        <f>SUMIFS(Таб[Потужність, МВт],Таб[Область],$C28,Таб[Підтип],G$8)</f>
        <v>0</v>
      </c>
      <c r="H28">
        <f>SUMIFS(Таб[Потужність, МВт],Таб[Область],$C28,Таб[Підтип],H$8)</f>
        <v>3.7450000000000001</v>
      </c>
      <c r="I28">
        <f>SUMIFS(Таб[Потужність, МВт],Таб[Область],$C28,Таб[Тип],I$8)</f>
        <v>0.14499999999999999</v>
      </c>
      <c r="L28" s="33">
        <v>20</v>
      </c>
      <c r="M28" s="33" t="str">
        <f t="shared" si="2"/>
        <v xml:space="preserve">Донецька </v>
      </c>
      <c r="N28" s="34">
        <f t="shared" si="3"/>
        <v>16.109000000000002</v>
      </c>
      <c r="O28" s="34">
        <f t="shared" si="4"/>
        <v>0</v>
      </c>
      <c r="P28" s="34">
        <f t="shared" si="5"/>
        <v>13.5</v>
      </c>
      <c r="Q28" s="34">
        <f t="shared" si="6"/>
        <v>0</v>
      </c>
      <c r="R28" s="34">
        <f t="shared" si="7"/>
        <v>2.609</v>
      </c>
      <c r="S28" s="34">
        <f t="shared" si="8"/>
        <v>0</v>
      </c>
      <c r="T28" s="84">
        <f t="shared" si="9"/>
        <v>2.2519849383042237E-3</v>
      </c>
      <c r="U28" s="84">
        <f t="shared" si="10"/>
        <v>0</v>
      </c>
      <c r="V28" s="84">
        <f t="shared" si="11"/>
        <v>1.2121701886944926E-2</v>
      </c>
      <c r="W28" s="84">
        <f t="shared" si="12"/>
        <v>0</v>
      </c>
      <c r="X28" s="84">
        <f t="shared" si="13"/>
        <v>2.9043425988801202E-2</v>
      </c>
      <c r="Y28" s="84">
        <f t="shared" si="14"/>
        <v>0</v>
      </c>
    </row>
    <row r="29" spans="1:25">
      <c r="A29">
        <f t="shared" si="0"/>
        <v>8</v>
      </c>
      <c r="B29">
        <v>21</v>
      </c>
      <c r="C29" t="s">
        <v>172</v>
      </c>
      <c r="D29" s="31">
        <f t="shared" si="1"/>
        <v>351.65299999999991</v>
      </c>
      <c r="E29" s="31">
        <f>SUMIFS(Таб[Потужність, МВт],Таб[Область],$C29,Таб[Тип],E$8)</f>
        <v>325.38099999999991</v>
      </c>
      <c r="F29">
        <f>SUMIFS(Таб[Потужність, МВт],Таб[Область],$C29,Таб[Тип],F$8)</f>
        <v>0</v>
      </c>
      <c r="G29">
        <f>SUMIFS(Таб[Потужність, МВт],Таб[Область],$C29,Таб[Підтип],G$8)</f>
        <v>1.6</v>
      </c>
      <c r="H29">
        <f>SUMIFS(Таб[Потужність, МВт],Таб[Область],$C29,Таб[Підтип],H$8)</f>
        <v>17.117999999999999</v>
      </c>
      <c r="I29">
        <f>SUMIFS(Таб[Потужність, МВт],Таб[Область],$C29,Таб[Тип],I$8)</f>
        <v>7.554000000000002</v>
      </c>
      <c r="L29" s="33">
        <v>21</v>
      </c>
      <c r="M29" s="33" t="str">
        <f t="shared" si="2"/>
        <v xml:space="preserve">Сумська </v>
      </c>
      <c r="N29" s="34">
        <f t="shared" si="3"/>
        <v>12.214</v>
      </c>
      <c r="O29" s="34">
        <f t="shared" si="4"/>
        <v>10.701000000000001</v>
      </c>
      <c r="P29" s="34">
        <f t="shared" si="5"/>
        <v>0</v>
      </c>
      <c r="Q29" s="34">
        <f t="shared" si="6"/>
        <v>0</v>
      </c>
      <c r="R29" s="34">
        <f t="shared" si="7"/>
        <v>0</v>
      </c>
      <c r="S29" s="34">
        <f t="shared" si="8"/>
        <v>1.5129999999999999</v>
      </c>
      <c r="T29" s="84">
        <f t="shared" si="9"/>
        <v>1.7074768164658132E-3</v>
      </c>
      <c r="U29" s="84">
        <f t="shared" si="10"/>
        <v>1.8633112090157724E-3</v>
      </c>
      <c r="V29" s="84">
        <f t="shared" si="11"/>
        <v>0</v>
      </c>
      <c r="W29" s="84">
        <f t="shared" si="12"/>
        <v>0</v>
      </c>
      <c r="X29" s="84">
        <f t="shared" si="13"/>
        <v>0</v>
      </c>
      <c r="Y29" s="84">
        <f t="shared" si="14"/>
        <v>1.3146347609241544E-2</v>
      </c>
    </row>
    <row r="30" spans="1:25">
      <c r="A30">
        <f t="shared" si="0"/>
        <v>14</v>
      </c>
      <c r="B30">
        <v>22</v>
      </c>
      <c r="C30" t="s">
        <v>163</v>
      </c>
      <c r="D30" s="31">
        <f t="shared" si="1"/>
        <v>92.337999999999994</v>
      </c>
      <c r="E30" s="31">
        <f>SUMIFS(Таб[Потужність, МВт],Таб[Область],$C30,Таб[Тип],E$8)</f>
        <v>67.084999999999994</v>
      </c>
      <c r="F30">
        <f>SUMIFS(Таб[Потужність, МВт],Таб[Область],$C30,Таб[Тип],F$8)</f>
        <v>0</v>
      </c>
      <c r="G30">
        <f>SUMIFS(Таб[Потужність, МВт],Таб[Область],$C30,Таб[Підтип],G$8)</f>
        <v>16</v>
      </c>
      <c r="H30">
        <f>SUMIFS(Таб[Потужність, МВт],Таб[Область],$C30,Таб[Підтип],H$8)</f>
        <v>0.6</v>
      </c>
      <c r="I30">
        <f>SUMIFS(Таб[Потужність, МВт],Таб[Область],$C30,Таб[Тип],I$8)</f>
        <v>8.6530000000000005</v>
      </c>
      <c r="L30" s="33">
        <v>22</v>
      </c>
      <c r="M30" s="33" t="str">
        <f t="shared" si="2"/>
        <v xml:space="preserve">Рівненська  </v>
      </c>
      <c r="N30" s="34">
        <f t="shared" si="3"/>
        <v>5.5869999999999997</v>
      </c>
      <c r="O30" s="34">
        <f t="shared" si="4"/>
        <v>3.044</v>
      </c>
      <c r="P30" s="34">
        <f t="shared" si="5"/>
        <v>0</v>
      </c>
      <c r="Q30" s="34">
        <f t="shared" si="6"/>
        <v>0</v>
      </c>
      <c r="R30" s="34">
        <f t="shared" si="7"/>
        <v>1.1840000000000002</v>
      </c>
      <c r="S30" s="34">
        <f t="shared" si="8"/>
        <v>1.359</v>
      </c>
      <c r="T30" s="84">
        <f t="shared" si="9"/>
        <v>7.8104412752533962E-4</v>
      </c>
      <c r="U30" s="84">
        <f t="shared" si="10"/>
        <v>5.3003638166937775E-4</v>
      </c>
      <c r="V30" s="84">
        <f t="shared" si="11"/>
        <v>0</v>
      </c>
      <c r="W30" s="84">
        <f t="shared" si="12"/>
        <v>0</v>
      </c>
      <c r="X30" s="84">
        <f t="shared" si="13"/>
        <v>1.3180305239839259E-2</v>
      </c>
      <c r="Y30" s="84">
        <f t="shared" si="14"/>
        <v>1.1808252743528921E-2</v>
      </c>
    </row>
    <row r="31" spans="1:25">
      <c r="A31">
        <f t="shared" si="0"/>
        <v>16</v>
      </c>
      <c r="B31">
        <v>23</v>
      </c>
      <c r="C31" t="s">
        <v>1257</v>
      </c>
      <c r="D31" s="31">
        <f t="shared" si="1"/>
        <v>78.03</v>
      </c>
      <c r="E31" s="31">
        <f>SUMIFS(Таб[Потужність, МВт],Таб[Область],$C31,Таб[Тип],E$8)</f>
        <v>76.432000000000002</v>
      </c>
      <c r="F31">
        <f>SUMIFS(Таб[Потужність, МВт],Таб[Область],$C31,Таб[Тип],F$8)</f>
        <v>0</v>
      </c>
      <c r="G31">
        <f>SUMIFS(Таб[Потужність, МВт],Таб[Область],$C31,Таб[Підтип],G$8)</f>
        <v>0</v>
      </c>
      <c r="H31">
        <f>SUMIFS(Таб[Потужність, МВт],Таб[Область],$C31,Таб[Підтип],H$8)</f>
        <v>0</v>
      </c>
      <c r="I31">
        <f>SUMIFS(Таб[Потужність, МВт],Таб[Область],$C31,Таб[Тип],I$8)</f>
        <v>1.5979999999999999</v>
      </c>
      <c r="L31" s="33">
        <v>23</v>
      </c>
      <c r="M31" s="33" t="str">
        <f t="shared" si="2"/>
        <v xml:space="preserve">Волинська </v>
      </c>
      <c r="N31" s="34">
        <f t="shared" si="3"/>
        <v>2.6908413461538463</v>
      </c>
      <c r="O31" s="34">
        <f t="shared" si="4"/>
        <v>2.3608413461538462</v>
      </c>
      <c r="P31" s="34">
        <f t="shared" si="5"/>
        <v>0</v>
      </c>
      <c r="Q31" s="34">
        <f t="shared" si="6"/>
        <v>0</v>
      </c>
      <c r="R31" s="34">
        <f t="shared" si="7"/>
        <v>0.33</v>
      </c>
      <c r="S31" s="34">
        <f t="shared" si="8"/>
        <v>0</v>
      </c>
      <c r="T31" s="84">
        <f t="shared" si="9"/>
        <v>3.7617072337852895E-4</v>
      </c>
      <c r="U31" s="84">
        <f t="shared" si="10"/>
        <v>4.1108140762511421E-4</v>
      </c>
      <c r="V31" s="84">
        <f t="shared" si="11"/>
        <v>0</v>
      </c>
      <c r="W31" s="84">
        <f t="shared" si="12"/>
        <v>0</v>
      </c>
      <c r="X31" s="84">
        <f t="shared" si="13"/>
        <v>3.6735648050227662E-3</v>
      </c>
      <c r="Y31" s="84">
        <f t="shared" si="14"/>
        <v>0</v>
      </c>
    </row>
    <row r="32" spans="1:25">
      <c r="A32">
        <f t="shared" si="0"/>
        <v>19</v>
      </c>
      <c r="B32">
        <v>24</v>
      </c>
      <c r="C32" t="s">
        <v>141</v>
      </c>
      <c r="D32" s="31">
        <f t="shared" si="1"/>
        <v>32.86</v>
      </c>
      <c r="E32" s="31">
        <f>SUMIFS(Таб[Потужність, МВт],Таб[Область],$C32,Таб[Тип],E$8)</f>
        <v>23.455000000000005</v>
      </c>
      <c r="F32">
        <f>SUMIFS(Таб[Потужність, МВт],Таб[Область],$C32,Таб[Тип],F$8)</f>
        <v>0</v>
      </c>
      <c r="G32">
        <f>SUMIFS(Таб[Потужність, МВт],Таб[Область],$C32,Таб[Підтип],G$8)</f>
        <v>4</v>
      </c>
      <c r="H32">
        <f>SUMIFS(Таб[Потужність, МВт],Таб[Область],$C32,Таб[Підтип],H$8)</f>
        <v>5.23</v>
      </c>
      <c r="I32">
        <f>SUMIFS(Таб[Потужність, МВт],Таб[Область],$C32,Таб[Тип],I$8)</f>
        <v>0.17499999999999999</v>
      </c>
      <c r="L32" s="33">
        <v>24</v>
      </c>
      <c r="M32" s="33" t="str">
        <f t="shared" si="2"/>
        <v xml:space="preserve">Луганська </v>
      </c>
      <c r="N32" s="34">
        <f t="shared" si="3"/>
        <v>1.8279999999999998</v>
      </c>
      <c r="O32" s="34">
        <f t="shared" si="4"/>
        <v>1.8279999999999998</v>
      </c>
      <c r="P32" s="34">
        <f t="shared" si="5"/>
        <v>0</v>
      </c>
      <c r="Q32" s="34">
        <f t="shared" si="6"/>
        <v>0</v>
      </c>
      <c r="R32" s="34">
        <f t="shared" si="7"/>
        <v>0</v>
      </c>
      <c r="S32" s="34">
        <f t="shared" si="8"/>
        <v>0</v>
      </c>
      <c r="T32" s="84">
        <f t="shared" si="9"/>
        <v>2.5554835602583151E-4</v>
      </c>
      <c r="U32" s="84">
        <f t="shared" si="10"/>
        <v>3.1830042893942921E-4</v>
      </c>
      <c r="V32" s="84">
        <f t="shared" si="11"/>
        <v>0</v>
      </c>
      <c r="W32" s="84">
        <f t="shared" si="12"/>
        <v>0</v>
      </c>
      <c r="X32" s="84">
        <f t="shared" si="13"/>
        <v>0</v>
      </c>
      <c r="Y32" s="84">
        <f t="shared" si="14"/>
        <v>0</v>
      </c>
    </row>
    <row r="33" spans="1:25">
      <c r="A33">
        <f t="shared" si="0"/>
        <v>25</v>
      </c>
      <c r="B33">
        <v>25</v>
      </c>
      <c r="C33" t="s">
        <v>1465</v>
      </c>
      <c r="D33" s="31">
        <f t="shared" si="1"/>
        <v>1.488</v>
      </c>
      <c r="E33" s="31">
        <f>SUMIFS(Таб[Потужність, МВт],Таб[Область],$C33,Таб[Тип],E$8)</f>
        <v>1.488</v>
      </c>
      <c r="F33">
        <f>SUMIFS(Таб[Потужність, МВт],Таб[Область],$C33,Таб[Тип],F$8)</f>
        <v>0</v>
      </c>
      <c r="G33">
        <f>SUMIFS(Таб[Потужність, МВт],Таб[Область],$C33,Таб[Підтип],G$8)</f>
        <v>0</v>
      </c>
      <c r="H33">
        <f>SUMIFS(Таб[Потужність, МВт],Таб[Область],$C33,Таб[Підтип],H$8)</f>
        <v>0</v>
      </c>
      <c r="I33">
        <f>SUMIFS(Таб[Потужність, МВт],Таб[Область],$C33,Таб[Тип],I$8)</f>
        <v>0</v>
      </c>
      <c r="L33" s="33">
        <v>25</v>
      </c>
      <c r="M33" s="33" t="str">
        <f t="shared" si="2"/>
        <v xml:space="preserve">м. Київ  </v>
      </c>
      <c r="N33" s="34">
        <f t="shared" si="3"/>
        <v>1.488</v>
      </c>
      <c r="O33" s="34">
        <f t="shared" si="4"/>
        <v>1.488</v>
      </c>
      <c r="P33" s="34">
        <f t="shared" si="5"/>
        <v>0</v>
      </c>
      <c r="Q33" s="34">
        <f t="shared" si="6"/>
        <v>0</v>
      </c>
      <c r="R33" s="34">
        <f t="shared" si="7"/>
        <v>0</v>
      </c>
      <c r="S33" s="34">
        <f t="shared" si="8"/>
        <v>0</v>
      </c>
      <c r="T33" s="84">
        <f t="shared" si="9"/>
        <v>2.0801748017857622E-4</v>
      </c>
      <c r="U33" s="84">
        <f t="shared" si="10"/>
        <v>2.5909794215638439E-4</v>
      </c>
      <c r="V33" s="84">
        <f t="shared" si="11"/>
        <v>0</v>
      </c>
      <c r="W33" s="84">
        <f t="shared" si="12"/>
        <v>0</v>
      </c>
      <c r="X33" s="84">
        <f t="shared" si="13"/>
        <v>0</v>
      </c>
      <c r="Y33" s="84">
        <f t="shared" si="14"/>
        <v>0</v>
      </c>
    </row>
    <row r="34" spans="1:25">
      <c r="A34">
        <f t="shared" si="0"/>
        <v>26</v>
      </c>
      <c r="B34">
        <v>26</v>
      </c>
      <c r="C34" t="s">
        <v>3239</v>
      </c>
      <c r="D34" s="31">
        <f t="shared" si="1"/>
        <v>0</v>
      </c>
      <c r="E34" s="31">
        <f>SUMIFS(Таб[Потужність, МВт],Таб[Область],$C34,Таб[Тип],E$8)</f>
        <v>0</v>
      </c>
      <c r="F34">
        <f>SUMIFS(Таб[Потужність, МВт],Таб[Область],$C34,Таб[Тип],F$8)</f>
        <v>0</v>
      </c>
      <c r="G34">
        <f>SUMIFS(Таб[Потужність, МВт],Таб[Область],$C34,Таб[Підтип],G$8)</f>
        <v>0</v>
      </c>
      <c r="H34">
        <f>SUMIFS(Таб[Потужність, МВт],Таб[Область],$C34,Таб[Підтип],H$8)</f>
        <v>0</v>
      </c>
      <c r="I34">
        <f>SUMIFS(Таб[Потужність, МВт],Таб[Область],$C34,Таб[Тип],I$8)</f>
        <v>0</v>
      </c>
      <c r="L34" s="33">
        <v>26</v>
      </c>
      <c r="M34" s="33" t="s">
        <v>3239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84">
        <f t="shared" si="9"/>
        <v>0</v>
      </c>
      <c r="U34" s="84">
        <f t="shared" si="10"/>
        <v>0</v>
      </c>
      <c r="V34" s="84">
        <f t="shared" si="11"/>
        <v>0</v>
      </c>
      <c r="W34" s="84">
        <f t="shared" si="12"/>
        <v>0</v>
      </c>
      <c r="X34" s="84">
        <f t="shared" si="13"/>
        <v>0</v>
      </c>
      <c r="Y34" s="84">
        <f t="shared" si="14"/>
        <v>0</v>
      </c>
    </row>
    <row r="35" spans="1:25">
      <c r="A35">
        <f t="shared" si="0"/>
        <v>26</v>
      </c>
      <c r="B35">
        <v>27</v>
      </c>
      <c r="C35" t="s">
        <v>3240</v>
      </c>
      <c r="D35" s="31">
        <f t="shared" si="1"/>
        <v>0</v>
      </c>
      <c r="E35" s="31">
        <f>SUMIFS(Таб[Потужність, МВт],Таб[Область],$C35,Таб[Тип],E$8)</f>
        <v>0</v>
      </c>
      <c r="F35">
        <f>SUMIFS(Таб[Потужність, МВт],Таб[Область],$C35,Таб[Тип],F$8)</f>
        <v>0</v>
      </c>
      <c r="G35">
        <f>SUMIFS(Таб[Потужність, МВт],Таб[Область],$C35,Таб[Підтип],G$8)</f>
        <v>0</v>
      </c>
      <c r="H35">
        <f>SUMIFS(Таб[Потужність, МВт],Таб[Область],$C35,Таб[Підтип],H$8)</f>
        <v>0</v>
      </c>
      <c r="I35">
        <f>SUMIFS(Таб[Потужність, МВт],Таб[Область],$C35,Таб[Тип],I$8)</f>
        <v>0</v>
      </c>
      <c r="L35" s="33">
        <v>27</v>
      </c>
      <c r="M35" s="33" t="s">
        <v>3240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85">
        <f t="shared" si="9"/>
        <v>0</v>
      </c>
      <c r="U35" s="85">
        <f t="shared" si="10"/>
        <v>0</v>
      </c>
      <c r="V35" s="85">
        <f t="shared" si="11"/>
        <v>0</v>
      </c>
      <c r="W35" s="85">
        <f t="shared" si="12"/>
        <v>0</v>
      </c>
      <c r="X35" s="85">
        <f t="shared" si="13"/>
        <v>0</v>
      </c>
      <c r="Y35" s="85">
        <f t="shared" si="14"/>
        <v>0</v>
      </c>
    </row>
    <row r="36" spans="1:25" ht="15.75">
      <c r="C36" t="s">
        <v>3241</v>
      </c>
      <c r="D36" s="31">
        <f>SUM(D9:D35)</f>
        <v>7153.2450000000008</v>
      </c>
      <c r="E36" s="31">
        <f t="shared" ref="E36:I36" si="15">SUM(E9:E35)</f>
        <v>5743.0020000000004</v>
      </c>
      <c r="F36" s="31">
        <f t="shared" si="15"/>
        <v>1113.7050000000002</v>
      </c>
      <c r="G36" s="31">
        <f t="shared" si="15"/>
        <v>91.617999999999995</v>
      </c>
      <c r="H36" s="31">
        <f t="shared" si="15"/>
        <v>89.830999999999989</v>
      </c>
      <c r="I36" s="31">
        <f t="shared" si="15"/>
        <v>115.08899999999998</v>
      </c>
      <c r="L36" s="42"/>
      <c r="M36" s="42" t="s">
        <v>3241</v>
      </c>
      <c r="N36" s="43">
        <f>SUM(N9:N35)</f>
        <v>7153.2450000000026</v>
      </c>
      <c r="O36" s="44">
        <f t="shared" ref="O36" si="16">SUM(O9:O35)</f>
        <v>5743.0020000000004</v>
      </c>
      <c r="P36" s="45">
        <f t="shared" ref="P36" si="17">SUM(P9:P35)</f>
        <v>1113.7050000000002</v>
      </c>
      <c r="Q36" s="46">
        <f t="shared" ref="Q36" si="18">SUM(Q9:Q35)</f>
        <v>91.617999999999995</v>
      </c>
      <c r="R36" s="47">
        <f t="shared" ref="R36" si="19">SUM(R9:R35)</f>
        <v>89.830999999999975</v>
      </c>
      <c r="S36" s="48">
        <f t="shared" ref="S36" si="20">SUM(S9:S35)</f>
        <v>115.089</v>
      </c>
    </row>
    <row r="38" spans="1:25">
      <c r="L38" s="263" t="s">
        <v>3248</v>
      </c>
      <c r="M38" s="263"/>
      <c r="N38" s="263"/>
      <c r="O38" s="263"/>
      <c r="P38" s="263"/>
      <c r="Q38" s="263"/>
      <c r="R38" s="263"/>
      <c r="S38" s="263"/>
    </row>
    <row r="39" spans="1:25">
      <c r="L39" s="69"/>
      <c r="M39" s="69" t="s">
        <v>56</v>
      </c>
      <c r="N39" s="95">
        <f t="shared" ref="N39:N40" si="21">SUM(O39:S39)</f>
        <v>90.97</v>
      </c>
      <c r="O39" s="95">
        <f>SUMIFS(ТабCЕС[Потужність, МВт],ТабCЕС[Область],$M39,ТабCЕС[Тип],E$7)</f>
        <v>0</v>
      </c>
      <c r="P39" s="95">
        <f>SUMIFS(Таб[Потужність, МВт],Таб[Область],$M39,Таб[Тип],F$7)</f>
        <v>88.03</v>
      </c>
      <c r="Q39" s="95">
        <f>SUMIFS(ТабБіо[Потужність, МВт],ТабБіо[Область],$M39,ТабБіо[Підтип],G$7)</f>
        <v>2</v>
      </c>
      <c r="R39" s="95">
        <f>SUMIFS(ТабБіо[Потужність, МВт],ТабБіо[Область],$M39,ТабБіо[Підтип],H$7)</f>
        <v>0</v>
      </c>
      <c r="S39" s="95">
        <f>SUMIFS(ТабмГЕС[Потужність, МВт],ТабмГЕС[Область],$M39,ТабмГЕС[Тип],I$7)</f>
        <v>0.94</v>
      </c>
    </row>
    <row r="40" spans="1:25">
      <c r="L40" s="33"/>
      <c r="M40" s="33" t="s">
        <v>85</v>
      </c>
      <c r="N40" s="34">
        <f t="shared" si="21"/>
        <v>50</v>
      </c>
      <c r="O40" s="34">
        <f>SUMIFS(ТабCЕС[Потужність, МВт],ТабCЕС[Область],$M40,ТабCЕС[Тип],E$7)</f>
        <v>0</v>
      </c>
      <c r="P40" s="34">
        <f>SUMIFS(Таб[Потужність, МВт],Таб[Область],$M40,Таб[Тип],F$7)</f>
        <v>50</v>
      </c>
      <c r="Q40" s="34">
        <f>SUMIFS(ТабБіо[Потужність, МВт],ТабБіо[Область],$M40,ТабБіо[Підтип],G$7)</f>
        <v>0</v>
      </c>
      <c r="R40" s="34">
        <f>SUMIFS(ТабБіо[Потужність, МВт],ТабБіо[Область],$M40,ТабБіо[Підтип],H$7)</f>
        <v>0</v>
      </c>
      <c r="S40" s="34">
        <f>SUMIFS(ТабмГЕС[Потужність, МВт],ТабмГЕС[Область],$M40,ТабмГЕС[Тип],I$7)</f>
        <v>0</v>
      </c>
    </row>
    <row r="41" spans="1:25">
      <c r="L41" s="96"/>
      <c r="M41" s="96" t="s">
        <v>3247</v>
      </c>
      <c r="N41" s="97">
        <f>N39+N40</f>
        <v>140.97</v>
      </c>
      <c r="O41" s="97">
        <f t="shared" ref="O41:S41" si="22">O39+O40</f>
        <v>0</v>
      </c>
      <c r="P41" s="97">
        <f t="shared" si="22"/>
        <v>138.03</v>
      </c>
      <c r="Q41" s="97">
        <f t="shared" si="22"/>
        <v>2</v>
      </c>
      <c r="R41" s="97">
        <f t="shared" si="22"/>
        <v>0</v>
      </c>
      <c r="S41" s="97">
        <f t="shared" si="22"/>
        <v>0.94</v>
      </c>
    </row>
    <row r="42" spans="1:25">
      <c r="L42" s="69"/>
      <c r="M42" s="69" t="s">
        <v>3240</v>
      </c>
      <c r="N42" s="95">
        <f t="shared" ref="N42" si="23">SUM(O42:S42)</f>
        <v>495.7</v>
      </c>
      <c r="O42" s="95">
        <v>407.9</v>
      </c>
      <c r="P42" s="95">
        <v>87.8</v>
      </c>
      <c r="Q42" s="95">
        <v>0</v>
      </c>
      <c r="R42" s="95">
        <v>0</v>
      </c>
      <c r="S42" s="95">
        <v>0</v>
      </c>
    </row>
    <row r="43" spans="1:25" ht="15.75">
      <c r="L43" s="101"/>
      <c r="M43" s="101" t="s">
        <v>3241</v>
      </c>
      <c r="N43" s="103">
        <f>N41+N42</f>
        <v>636.66999999999996</v>
      </c>
      <c r="O43" s="103">
        <f t="shared" ref="O43:S43" si="24">O41+O42</f>
        <v>407.9</v>
      </c>
      <c r="P43" s="103">
        <f t="shared" si="24"/>
        <v>225.82999999999998</v>
      </c>
      <c r="Q43" s="103">
        <f t="shared" si="24"/>
        <v>2</v>
      </c>
      <c r="R43" s="103">
        <f t="shared" si="24"/>
        <v>0</v>
      </c>
      <c r="S43" s="103">
        <f t="shared" si="24"/>
        <v>0.94</v>
      </c>
    </row>
    <row r="44" spans="1:25">
      <c r="L44" s="98"/>
      <c r="M44" s="98"/>
      <c r="N44" s="99"/>
      <c r="O44" s="99"/>
      <c r="P44" s="99"/>
      <c r="Q44" s="99"/>
      <c r="R44" s="99"/>
      <c r="S44" s="99"/>
    </row>
    <row r="45" spans="1:25" ht="15">
      <c r="L45" s="100"/>
      <c r="M45" s="100" t="s">
        <v>3251</v>
      </c>
      <c r="N45" s="102">
        <f>N43+N36</f>
        <v>7789.9150000000027</v>
      </c>
      <c r="O45" s="102">
        <f t="shared" ref="O45:S45" si="25">O43+O36</f>
        <v>6150.902</v>
      </c>
      <c r="P45" s="102">
        <f t="shared" si="25"/>
        <v>1339.5350000000001</v>
      </c>
      <c r="Q45" s="102">
        <f t="shared" si="25"/>
        <v>93.617999999999995</v>
      </c>
      <c r="R45" s="102">
        <f t="shared" si="25"/>
        <v>89.830999999999975</v>
      </c>
      <c r="S45" s="102">
        <f t="shared" si="25"/>
        <v>116.029</v>
      </c>
    </row>
  </sheetData>
  <mergeCells count="3">
    <mergeCell ref="L6:S6"/>
    <mergeCell ref="L38:S38"/>
    <mergeCell ref="T6:Y6"/>
  </mergeCells>
  <conditionalFormatting sqref="N9:N3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{53E297EC-8C3C-4EDC-A2A3-1AF10A31BD59}</x14:id>
        </ext>
      </extLst>
    </cfRule>
  </conditionalFormatting>
  <conditionalFormatting sqref="O9:O35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{FFCBE5E4-52E4-4A33-8F95-912E1EBBF657}</x14:id>
        </ext>
      </extLst>
    </cfRule>
  </conditionalFormatting>
  <conditionalFormatting sqref="P9:P3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{6DB1A9BF-BD41-42FE-8B95-4C1379ADC721}</x14:id>
        </ext>
      </extLst>
    </cfRule>
  </conditionalFormatting>
  <conditionalFormatting sqref="N9:R35">
    <cfRule type="cellIs" dxfId="12" priority="17" operator="equal">
      <formula>0</formula>
    </cfRule>
  </conditionalFormatting>
  <conditionalFormatting sqref="Q9:Q3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{23521ADC-8A5D-4482-B9A2-990139498632}</x14:id>
        </ext>
      </extLst>
    </cfRule>
  </conditionalFormatting>
  <conditionalFormatting sqref="R9:R3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{07ED9DEA-8979-4608-A6D1-2B657CCA7D1A}</x14:id>
        </ext>
      </extLst>
    </cfRule>
  </conditionalFormatting>
  <conditionalFormatting sqref="S9:S35">
    <cfRule type="cellIs" dxfId="11" priority="12" operator="equal">
      <formula>0</formula>
    </cfRule>
    <cfRule type="dataBar" priority="13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{B0C16E4F-6CC8-4E50-A09F-2E6A81EC2CD6}</x14:id>
        </ext>
      </extLst>
    </cfRule>
  </conditionalFormatting>
  <conditionalFormatting sqref="N39:N4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{C188BCC4-016B-4AEC-BE95-ADBBFB590CA9}</x14:id>
        </ext>
      </extLst>
    </cfRule>
  </conditionalFormatting>
  <conditionalFormatting sqref="O39:O4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{8D9442CE-C54A-407E-B3C0-70A11162C749}</x14:id>
        </ext>
      </extLst>
    </cfRule>
  </conditionalFormatting>
  <conditionalFormatting sqref="P39:P4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{E1A1B9BA-0456-4519-BF29-CEF3DFDDC0D4}</x14:id>
        </ext>
      </extLst>
    </cfRule>
  </conditionalFormatting>
  <conditionalFormatting sqref="N39:R45">
    <cfRule type="cellIs" dxfId="10" priority="7" operator="equal">
      <formula>0</formula>
    </cfRule>
  </conditionalFormatting>
  <conditionalFormatting sqref="Q39:Q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{D0B9308C-945B-49CA-BEF6-701B2416C83C}</x14:id>
        </ext>
      </extLst>
    </cfRule>
  </conditionalFormatting>
  <conditionalFormatting sqref="R39:R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{DC920917-8CE5-454B-9FA9-48A1080688B0}</x14:id>
        </ext>
      </extLst>
    </cfRule>
  </conditionalFormatting>
  <conditionalFormatting sqref="S39:S45">
    <cfRule type="cellIs" dxfId="9" priority="3" operator="equal">
      <formula>0</formula>
    </cfRule>
    <cfRule type="dataBar" priority="4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{F69B2A2D-DD38-4543-BAC1-354F28BD52E4}</x14:id>
        </ext>
      </extLst>
    </cfRule>
  </conditionalFormatting>
  <conditionalFormatting sqref="T9:Y35">
    <cfRule type="cellIs" dxfId="8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E297EC-8C3C-4EDC-A2A3-1AF10A31B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N9:N35</xm:sqref>
        </x14:conditionalFormatting>
        <x14:conditionalFormatting xmlns:xm="http://schemas.microsoft.com/office/excel/2006/main">
          <x14:cfRule type="dataBar" id="{FFCBE5E4-52E4-4A33-8F95-912E1EBBF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O9:O35</xm:sqref>
        </x14:conditionalFormatting>
        <x14:conditionalFormatting xmlns:xm="http://schemas.microsoft.com/office/excel/2006/main">
          <x14:cfRule type="dataBar" id="{6DB1A9BF-BD41-42FE-8B95-4C1379ADC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P9:P35</xm:sqref>
        </x14:conditionalFormatting>
        <x14:conditionalFormatting xmlns:xm="http://schemas.microsoft.com/office/excel/2006/main">
          <x14:cfRule type="dataBar" id="{23521ADC-8A5D-4482-B9A2-990139498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Q9:Q35</xm:sqref>
        </x14:conditionalFormatting>
        <x14:conditionalFormatting xmlns:xm="http://schemas.microsoft.com/office/excel/2006/main">
          <x14:cfRule type="dataBar" id="{07ED9DEA-8979-4608-A6D1-2B657CCA7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R9:R35</xm:sqref>
        </x14:conditionalFormatting>
        <x14:conditionalFormatting xmlns:xm="http://schemas.microsoft.com/office/excel/2006/main">
          <x14:cfRule type="dataBar" id="{B0C16E4F-6CC8-4E50-A09F-2E6A81EC2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S9:S35</xm:sqref>
        </x14:conditionalFormatting>
        <x14:conditionalFormatting xmlns:xm="http://schemas.microsoft.com/office/excel/2006/main">
          <x14:cfRule type="dataBar" id="{C188BCC4-016B-4AEC-BE95-ADBBFB590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N39:N45</xm:sqref>
        </x14:conditionalFormatting>
        <x14:conditionalFormatting xmlns:xm="http://schemas.microsoft.com/office/excel/2006/main">
          <x14:cfRule type="dataBar" id="{8D9442CE-C54A-407E-B3C0-70A11162C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O39:O45</xm:sqref>
        </x14:conditionalFormatting>
        <x14:conditionalFormatting xmlns:xm="http://schemas.microsoft.com/office/excel/2006/main">
          <x14:cfRule type="dataBar" id="{E1A1B9BA-0456-4519-BF29-CEF3DFDDC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P39:P45</xm:sqref>
        </x14:conditionalFormatting>
        <x14:conditionalFormatting xmlns:xm="http://schemas.microsoft.com/office/excel/2006/main">
          <x14:cfRule type="dataBar" id="{D0B9308C-945B-49CA-BEF6-701B2416C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Q39:Q45</xm:sqref>
        </x14:conditionalFormatting>
        <x14:conditionalFormatting xmlns:xm="http://schemas.microsoft.com/office/excel/2006/main">
          <x14:cfRule type="dataBar" id="{DC920917-8CE5-454B-9FA9-48A108068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R39:R45</xm:sqref>
        </x14:conditionalFormatting>
        <x14:conditionalFormatting xmlns:xm="http://schemas.microsoft.com/office/excel/2006/main">
          <x14:cfRule type="dataBar" id="{F69B2A2D-DD38-4543-BAC1-354F28BD5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S39:S45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I48"/>
  <sheetViews>
    <sheetView topLeftCell="C22" workbookViewId="0">
      <selection activeCell="I40" sqref="I40"/>
    </sheetView>
  </sheetViews>
  <sheetFormatPr defaultRowHeight="12.75"/>
  <cols>
    <col min="4" max="4" width="41.28515625" customWidth="1"/>
    <col min="5" max="5" width="6.28515625" customWidth="1"/>
    <col min="6" max="6" width="30.28515625" customWidth="1"/>
  </cols>
  <sheetData>
    <row r="3" spans="2:9">
      <c r="B3" t="s">
        <v>54</v>
      </c>
      <c r="D3" t="s">
        <v>3252</v>
      </c>
      <c r="F3" t="s">
        <v>3253</v>
      </c>
      <c r="G3">
        <v>2.1</v>
      </c>
      <c r="H3">
        <v>0.11310000000000001</v>
      </c>
    </row>
    <row r="4" spans="2:9">
      <c r="D4" t="s">
        <v>3254</v>
      </c>
      <c r="F4" t="s">
        <v>3253</v>
      </c>
      <c r="G4">
        <v>1.4</v>
      </c>
      <c r="H4">
        <v>0</v>
      </c>
    </row>
    <row r="5" spans="2:9">
      <c r="D5" t="s">
        <v>3255</v>
      </c>
      <c r="F5" t="s">
        <v>3253</v>
      </c>
      <c r="G5">
        <v>1.2</v>
      </c>
      <c r="H5">
        <v>6.4600000000000005E-2</v>
      </c>
    </row>
    <row r="6" spans="2:9">
      <c r="D6" t="s">
        <v>3255</v>
      </c>
      <c r="F6" t="s">
        <v>3256</v>
      </c>
      <c r="G6">
        <v>1.08</v>
      </c>
      <c r="H6">
        <v>5.8200000000000002E-2</v>
      </c>
    </row>
    <row r="7" spans="2:9">
      <c r="D7" t="s">
        <v>3254</v>
      </c>
      <c r="F7" t="s">
        <v>3256</v>
      </c>
      <c r="G7">
        <v>1.26</v>
      </c>
      <c r="H7">
        <v>6.7900000000000002E-2</v>
      </c>
    </row>
    <row r="8" spans="2:9">
      <c r="D8" t="s">
        <v>3257</v>
      </c>
      <c r="F8" t="s">
        <v>3256</v>
      </c>
      <c r="G8">
        <v>1.89</v>
      </c>
      <c r="H8">
        <v>0.1018</v>
      </c>
    </row>
    <row r="9" spans="2:9">
      <c r="B9" t="s">
        <v>384</v>
      </c>
      <c r="D9" t="s">
        <v>3258</v>
      </c>
      <c r="F9" t="s">
        <v>3259</v>
      </c>
      <c r="G9">
        <v>8.64</v>
      </c>
      <c r="H9">
        <v>0.46529999999999999</v>
      </c>
      <c r="I9" t="s">
        <v>3301</v>
      </c>
    </row>
    <row r="10" spans="2:9">
      <c r="E10" t="s">
        <v>3301</v>
      </c>
      <c r="F10" t="s">
        <v>3260</v>
      </c>
      <c r="G10">
        <v>6.3</v>
      </c>
      <c r="H10">
        <v>0.33929999999999999</v>
      </c>
      <c r="I10" t="s">
        <v>3301</v>
      </c>
    </row>
    <row r="11" spans="2:9">
      <c r="E11" t="s">
        <v>3301</v>
      </c>
      <c r="F11" t="s">
        <v>3261</v>
      </c>
      <c r="G11">
        <v>5.67</v>
      </c>
      <c r="H11">
        <v>0.30530000000000002</v>
      </c>
      <c r="I11" t="s">
        <v>3301</v>
      </c>
    </row>
    <row r="12" spans="2:9">
      <c r="E12" t="s">
        <v>3301</v>
      </c>
      <c r="F12" t="s">
        <v>3262</v>
      </c>
      <c r="G12">
        <v>3.15</v>
      </c>
      <c r="H12">
        <v>0.1696</v>
      </c>
      <c r="I12" t="s">
        <v>3301</v>
      </c>
    </row>
    <row r="13" spans="2:9">
      <c r="E13" t="s">
        <v>3301</v>
      </c>
      <c r="F13" t="s">
        <v>3263</v>
      </c>
      <c r="G13">
        <v>2.97</v>
      </c>
      <c r="H13">
        <v>0.15989999999999999</v>
      </c>
      <c r="I13" t="s">
        <v>3301</v>
      </c>
    </row>
    <row r="14" spans="2:9">
      <c r="E14" t="s">
        <v>3301</v>
      </c>
      <c r="F14" t="s">
        <v>3264</v>
      </c>
      <c r="G14">
        <v>2.79</v>
      </c>
      <c r="H14">
        <v>0.15029999999999999</v>
      </c>
      <c r="I14" t="s">
        <v>3301</v>
      </c>
    </row>
    <row r="15" spans="2:9">
      <c r="D15" t="s">
        <v>3265</v>
      </c>
      <c r="E15" t="s">
        <v>3301</v>
      </c>
      <c r="F15" t="s">
        <v>3259</v>
      </c>
      <c r="G15">
        <v>4.8</v>
      </c>
      <c r="H15">
        <v>0.25850000000000001</v>
      </c>
      <c r="I15" t="s">
        <v>3301</v>
      </c>
    </row>
    <row r="16" spans="2:9">
      <c r="E16" t="s">
        <v>3301</v>
      </c>
      <c r="F16" t="s">
        <v>3260</v>
      </c>
      <c r="G16">
        <v>3.5</v>
      </c>
      <c r="H16">
        <v>0.1885</v>
      </c>
      <c r="I16" t="s">
        <v>3301</v>
      </c>
    </row>
    <row r="17" spans="2:9">
      <c r="E17" t="s">
        <v>3301</v>
      </c>
      <c r="F17" t="s">
        <v>3261</v>
      </c>
      <c r="G17">
        <v>3.15</v>
      </c>
      <c r="H17">
        <v>0.1696</v>
      </c>
      <c r="I17" t="s">
        <v>3301</v>
      </c>
    </row>
    <row r="18" spans="2:9">
      <c r="E18" t="s">
        <v>3301</v>
      </c>
      <c r="F18" t="s">
        <v>3263</v>
      </c>
      <c r="G18">
        <v>2.97</v>
      </c>
      <c r="H18">
        <v>0.15989999999999999</v>
      </c>
      <c r="I18" t="s">
        <v>3301</v>
      </c>
    </row>
    <row r="19" spans="2:9">
      <c r="E19" t="s">
        <v>3301</v>
      </c>
      <c r="F19" t="s">
        <v>3264</v>
      </c>
      <c r="G19">
        <v>2.79</v>
      </c>
      <c r="H19">
        <v>0.15029999999999999</v>
      </c>
      <c r="I19" t="s">
        <v>3301</v>
      </c>
    </row>
    <row r="20" spans="2:9">
      <c r="E20" t="s">
        <v>3301</v>
      </c>
      <c r="H20">
        <v>0.11260000000000001</v>
      </c>
      <c r="I20" t="s">
        <v>3301</v>
      </c>
    </row>
    <row r="21" spans="2:9">
      <c r="D21" t="s">
        <v>3266</v>
      </c>
      <c r="E21" t="s">
        <v>3300</v>
      </c>
      <c r="F21" t="s">
        <v>3259</v>
      </c>
      <c r="G21">
        <v>8.2799999999999994</v>
      </c>
      <c r="H21">
        <v>0.44590000000000002</v>
      </c>
      <c r="I21" t="s">
        <v>3300</v>
      </c>
    </row>
    <row r="22" spans="2:9">
      <c r="E22" t="s">
        <v>3300</v>
      </c>
      <c r="F22" t="s">
        <v>3260</v>
      </c>
      <c r="G22">
        <v>6.48</v>
      </c>
      <c r="H22">
        <v>0.34899999999999998</v>
      </c>
      <c r="I22" t="s">
        <v>3300</v>
      </c>
    </row>
    <row r="23" spans="2:9">
      <c r="D23" t="s">
        <v>3267</v>
      </c>
      <c r="E23" t="s">
        <v>3300</v>
      </c>
      <c r="F23" t="s">
        <v>3259</v>
      </c>
      <c r="G23">
        <v>7.92</v>
      </c>
      <c r="H23">
        <v>0.42649999999999999</v>
      </c>
      <c r="I23" t="s">
        <v>3300</v>
      </c>
    </row>
    <row r="24" spans="2:9">
      <c r="E24" t="s">
        <v>3300</v>
      </c>
      <c r="F24" t="s">
        <v>3268</v>
      </c>
      <c r="G24">
        <v>6.66</v>
      </c>
      <c r="H24">
        <v>0.35870000000000002</v>
      </c>
      <c r="I24" t="s">
        <v>3300</v>
      </c>
    </row>
    <row r="25" spans="2:9">
      <c r="E25" t="s">
        <v>3300</v>
      </c>
      <c r="F25" t="s">
        <v>3269</v>
      </c>
      <c r="G25">
        <v>5.99</v>
      </c>
      <c r="H25">
        <v>0.3226</v>
      </c>
      <c r="I25" t="s">
        <v>3300</v>
      </c>
    </row>
    <row r="26" spans="2:9">
      <c r="D26" t="s">
        <v>3270</v>
      </c>
      <c r="E26" t="s">
        <v>3300</v>
      </c>
      <c r="F26" t="s">
        <v>3262</v>
      </c>
      <c r="G26">
        <v>3.35</v>
      </c>
      <c r="H26">
        <v>0.1804</v>
      </c>
      <c r="I26" t="s">
        <v>3300</v>
      </c>
    </row>
    <row r="27" spans="2:9">
      <c r="E27" t="s">
        <v>3300</v>
      </c>
      <c r="F27" t="s">
        <v>3263</v>
      </c>
      <c r="G27">
        <v>3.2</v>
      </c>
      <c r="H27">
        <v>0.17230000000000001</v>
      </c>
      <c r="I27" t="s">
        <v>3300</v>
      </c>
    </row>
    <row r="28" spans="2:9">
      <c r="E28" t="s">
        <v>3300</v>
      </c>
      <c r="F28" t="s">
        <v>3264</v>
      </c>
      <c r="G28">
        <v>3.04</v>
      </c>
      <c r="H28">
        <v>0.16370000000000001</v>
      </c>
      <c r="I28" t="s">
        <v>3300</v>
      </c>
    </row>
    <row r="29" spans="2:9">
      <c r="E29" t="s">
        <v>3300</v>
      </c>
      <c r="H29">
        <v>0.12280000000000001</v>
      </c>
      <c r="I29" t="s">
        <v>3300</v>
      </c>
    </row>
    <row r="30" spans="2:9">
      <c r="B30" t="s">
        <v>118</v>
      </c>
      <c r="D30" t="s">
        <v>118</v>
      </c>
      <c r="F30" t="s">
        <v>3271</v>
      </c>
      <c r="G30">
        <v>2.2999999999999998</v>
      </c>
      <c r="H30">
        <v>0.1239</v>
      </c>
    </row>
    <row r="31" spans="2:9">
      <c r="B31" t="s">
        <v>195</v>
      </c>
      <c r="D31" t="s">
        <v>118</v>
      </c>
      <c r="F31" t="s">
        <v>3271</v>
      </c>
      <c r="G31">
        <v>2.2999999999999998</v>
      </c>
      <c r="H31">
        <v>0.1239</v>
      </c>
    </row>
    <row r="32" spans="2:9">
      <c r="B32" t="s">
        <v>2715</v>
      </c>
      <c r="D32" t="s">
        <v>3272</v>
      </c>
      <c r="F32" t="s">
        <v>3259</v>
      </c>
      <c r="G32">
        <v>2.16</v>
      </c>
      <c r="H32">
        <v>0.1163</v>
      </c>
    </row>
    <row r="33" spans="2:8">
      <c r="D33" t="s">
        <v>3273</v>
      </c>
      <c r="F33" t="s">
        <v>3260</v>
      </c>
      <c r="G33">
        <v>2.88</v>
      </c>
      <c r="H33">
        <v>0.15509999999999999</v>
      </c>
    </row>
    <row r="34" spans="2:8">
      <c r="F34" t="s">
        <v>3256</v>
      </c>
      <c r="G34">
        <v>2.59</v>
      </c>
      <c r="H34">
        <v>0.13950000000000001</v>
      </c>
    </row>
    <row r="35" spans="2:8">
      <c r="D35" t="s">
        <v>3274</v>
      </c>
      <c r="F35" t="s">
        <v>3260</v>
      </c>
      <c r="G35">
        <v>3.6</v>
      </c>
      <c r="H35">
        <v>0.19389999999999999</v>
      </c>
    </row>
    <row r="36" spans="2:8">
      <c r="F36" t="s">
        <v>3275</v>
      </c>
      <c r="G36">
        <v>3.24</v>
      </c>
      <c r="H36">
        <v>0.17449999999999999</v>
      </c>
    </row>
    <row r="37" spans="2:8">
      <c r="D37" t="s">
        <v>3276</v>
      </c>
      <c r="F37" t="s">
        <v>3260</v>
      </c>
      <c r="G37">
        <v>2.16</v>
      </c>
      <c r="H37">
        <v>0.1163</v>
      </c>
    </row>
    <row r="38" spans="2:8">
      <c r="F38" t="s">
        <v>3271</v>
      </c>
      <c r="G38">
        <v>1.94</v>
      </c>
      <c r="H38">
        <v>0.1045</v>
      </c>
    </row>
    <row r="39" spans="2:8">
      <c r="B39" t="s">
        <v>3277</v>
      </c>
      <c r="D39" t="s">
        <v>3277</v>
      </c>
      <c r="F39" t="s">
        <v>3278</v>
      </c>
      <c r="G39">
        <v>2.79</v>
      </c>
      <c r="H39">
        <v>0</v>
      </c>
    </row>
    <row r="47" spans="2:8">
      <c r="F47">
        <v>0.2</v>
      </c>
    </row>
    <row r="48" spans="2:8">
      <c r="F4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2:BF148"/>
  <sheetViews>
    <sheetView topLeftCell="A7" zoomScale="55" zoomScaleNormal="55" workbookViewId="0">
      <selection activeCell="O29" sqref="O29"/>
    </sheetView>
  </sheetViews>
  <sheetFormatPr defaultRowHeight="12.75"/>
  <cols>
    <col min="3" max="3" width="12.28515625" customWidth="1"/>
    <col min="4" max="4" width="11.85546875" customWidth="1"/>
    <col min="5" max="6" width="11.85546875" style="163" customWidth="1"/>
    <col min="7" max="7" width="21.28515625" style="163" customWidth="1"/>
    <col min="8" max="8" width="10.140625" customWidth="1"/>
    <col min="9" max="9" width="10.85546875" customWidth="1"/>
    <col min="25" max="25" width="8.85546875" style="163"/>
  </cols>
  <sheetData>
    <row r="2" spans="3:24" ht="25.5">
      <c r="I2" s="1" t="s">
        <v>3312</v>
      </c>
      <c r="J2" s="58">
        <v>6.0000000000000001E-3</v>
      </c>
    </row>
    <row r="3" spans="3:24" ht="16.149999999999999" customHeight="1">
      <c r="C3" s="271" t="s">
        <v>3489</v>
      </c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</row>
    <row r="4" spans="3:24">
      <c r="C4" s="173" t="s">
        <v>2</v>
      </c>
      <c r="D4" s="167"/>
      <c r="E4" s="175">
        <v>2017</v>
      </c>
      <c r="F4" s="175">
        <v>2018</v>
      </c>
      <c r="G4" s="175">
        <v>2019</v>
      </c>
      <c r="H4" s="175">
        <v>2020</v>
      </c>
      <c r="I4" s="175">
        <v>2021</v>
      </c>
      <c r="J4" s="175">
        <v>2022</v>
      </c>
      <c r="K4" s="175">
        <v>2023</v>
      </c>
      <c r="L4" s="175">
        <v>2024</v>
      </c>
      <c r="M4" s="175">
        <v>2025</v>
      </c>
      <c r="N4" s="175">
        <v>2026</v>
      </c>
      <c r="O4" s="175">
        <v>2027</v>
      </c>
      <c r="P4" s="175">
        <v>2028</v>
      </c>
      <c r="Q4" s="175">
        <v>2029</v>
      </c>
      <c r="R4" s="175">
        <v>2030</v>
      </c>
      <c r="S4" s="175">
        <v>2031</v>
      </c>
      <c r="T4" s="175">
        <v>2032</v>
      </c>
      <c r="U4" s="175">
        <v>2033</v>
      </c>
      <c r="V4" s="175">
        <v>2034</v>
      </c>
      <c r="W4" s="175">
        <v>2035</v>
      </c>
    </row>
    <row r="5" spans="3:24">
      <c r="C5" s="71" t="s">
        <v>384</v>
      </c>
      <c r="D5" s="71"/>
      <c r="E5" s="71"/>
      <c r="F5" s="71"/>
      <c r="G5" s="71"/>
      <c r="H5" s="71">
        <v>350</v>
      </c>
      <c r="I5" s="71">
        <v>30</v>
      </c>
      <c r="J5" s="71">
        <v>10</v>
      </c>
      <c r="K5" s="71">
        <v>5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>
        <f>SUM(H5:W5)</f>
        <v>395</v>
      </c>
    </row>
    <row r="6" spans="3:24" s="163" customFormat="1">
      <c r="C6" s="33" t="s">
        <v>3313</v>
      </c>
      <c r="D6" s="33"/>
      <c r="E6" s="33"/>
      <c r="F6" s="33"/>
      <c r="G6" s="33"/>
      <c r="H6" s="183">
        <v>150</v>
      </c>
      <c r="I6" s="183">
        <v>200</v>
      </c>
      <c r="J6" s="183">
        <v>330</v>
      </c>
      <c r="K6" s="183">
        <v>330</v>
      </c>
      <c r="L6" s="183">
        <v>330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163">
        <f t="shared" ref="X6:X10" si="0">SUM(H6:W6)</f>
        <v>1340</v>
      </c>
    </row>
    <row r="7" spans="3:24">
      <c r="C7" s="33" t="s">
        <v>54</v>
      </c>
      <c r="D7" s="33"/>
      <c r="E7" s="33"/>
      <c r="F7" s="33"/>
      <c r="G7" s="33"/>
      <c r="H7" s="33">
        <v>350</v>
      </c>
      <c r="I7" s="33">
        <v>600</v>
      </c>
      <c r="J7" s="33">
        <v>600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163">
        <f t="shared" si="0"/>
        <v>1550</v>
      </c>
    </row>
    <row r="8" spans="3:24">
      <c r="C8" s="33" t="s">
        <v>118</v>
      </c>
      <c r="D8" s="33"/>
      <c r="E8" s="33"/>
      <c r="F8" s="33"/>
      <c r="G8" s="33"/>
      <c r="H8" s="33">
        <v>15</v>
      </c>
      <c r="I8" s="33">
        <v>20</v>
      </c>
      <c r="J8" s="33">
        <v>28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163">
        <f t="shared" si="0"/>
        <v>63</v>
      </c>
    </row>
    <row r="9" spans="3:24">
      <c r="C9" s="33" t="s">
        <v>195</v>
      </c>
      <c r="D9" s="33"/>
      <c r="E9" s="33"/>
      <c r="F9" s="33"/>
      <c r="G9" s="33"/>
      <c r="H9" s="33">
        <v>16</v>
      </c>
      <c r="I9" s="33">
        <v>20</v>
      </c>
      <c r="J9" s="33">
        <v>25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163">
        <f t="shared" si="0"/>
        <v>61</v>
      </c>
    </row>
    <row r="10" spans="3:24">
      <c r="C10" s="72" t="s">
        <v>2715</v>
      </c>
      <c r="D10" s="72"/>
      <c r="E10" s="72"/>
      <c r="F10" s="72"/>
      <c r="G10" s="72"/>
      <c r="H10" s="72">
        <v>5</v>
      </c>
      <c r="I10" s="72">
        <v>5</v>
      </c>
      <c r="J10" s="72">
        <v>5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163">
        <f t="shared" si="0"/>
        <v>15</v>
      </c>
    </row>
    <row r="11" spans="3:24">
      <c r="C11" s="100" t="s">
        <v>3241</v>
      </c>
      <c r="D11" s="100"/>
      <c r="E11" s="100"/>
      <c r="F11" s="100"/>
      <c r="G11" s="100"/>
      <c r="H11" s="100">
        <f>SUM(H5:H10)</f>
        <v>886</v>
      </c>
      <c r="I11" s="100">
        <f t="shared" ref="I11:W11" si="1">SUM(I5:I10)</f>
        <v>875</v>
      </c>
      <c r="J11" s="100">
        <f t="shared" si="1"/>
        <v>998</v>
      </c>
      <c r="K11" s="100">
        <f t="shared" si="1"/>
        <v>335</v>
      </c>
      <c r="L11" s="100">
        <f t="shared" si="1"/>
        <v>330</v>
      </c>
      <c r="M11" s="100">
        <f t="shared" si="1"/>
        <v>0</v>
      </c>
      <c r="N11" s="100">
        <f t="shared" si="1"/>
        <v>0</v>
      </c>
      <c r="O11" s="100">
        <f t="shared" si="1"/>
        <v>0</v>
      </c>
      <c r="P11" s="100">
        <f t="shared" si="1"/>
        <v>0</v>
      </c>
      <c r="Q11" s="100">
        <f t="shared" si="1"/>
        <v>0</v>
      </c>
      <c r="R11" s="100">
        <f t="shared" si="1"/>
        <v>0</v>
      </c>
      <c r="S11" s="100">
        <f t="shared" si="1"/>
        <v>0</v>
      </c>
      <c r="T11" s="100">
        <f t="shared" si="1"/>
        <v>0</v>
      </c>
      <c r="U11" s="100">
        <f t="shared" si="1"/>
        <v>0</v>
      </c>
      <c r="V11" s="100">
        <f t="shared" si="1"/>
        <v>0</v>
      </c>
      <c r="W11" s="100">
        <f t="shared" si="1"/>
        <v>0</v>
      </c>
    </row>
    <row r="12" spans="3:24" s="163" customFormat="1" ht="10.15" customHeight="1"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</row>
    <row r="13" spans="3:24" ht="16.149999999999999" customHeight="1">
      <c r="C13" s="268" t="s">
        <v>3314</v>
      </c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</row>
    <row r="14" spans="3:24" ht="25.15" customHeight="1">
      <c r="C14" s="173" t="s">
        <v>2</v>
      </c>
      <c r="D14" s="179" t="s">
        <v>3488</v>
      </c>
      <c r="E14" s="175">
        <v>2017</v>
      </c>
      <c r="F14" s="175">
        <v>2018</v>
      </c>
      <c r="G14" s="175">
        <v>2019</v>
      </c>
      <c r="H14" s="175">
        <v>2020</v>
      </c>
      <c r="I14" s="175">
        <v>2021</v>
      </c>
      <c r="J14" s="175">
        <v>2022</v>
      </c>
      <c r="K14" s="175">
        <v>2023</v>
      </c>
      <c r="L14" s="175">
        <v>2024</v>
      </c>
      <c r="M14" s="175">
        <v>2025</v>
      </c>
      <c r="N14" s="175">
        <v>2026</v>
      </c>
      <c r="O14" s="175">
        <v>2027</v>
      </c>
      <c r="P14" s="175">
        <v>2028</v>
      </c>
      <c r="Q14" s="175">
        <v>2029</v>
      </c>
      <c r="R14" s="175">
        <v>2030</v>
      </c>
      <c r="S14" s="175">
        <v>2031</v>
      </c>
      <c r="T14" s="175">
        <v>2032</v>
      </c>
      <c r="U14" s="175">
        <v>2033</v>
      </c>
      <c r="V14" s="175">
        <v>2034</v>
      </c>
      <c r="W14" s="175">
        <v>2035</v>
      </c>
    </row>
    <row r="15" spans="3:24">
      <c r="C15" s="71" t="s">
        <v>384</v>
      </c>
      <c r="D15" s="168">
        <f>'Вст. Потужн'!O36</f>
        <v>5743.0020000000004</v>
      </c>
      <c r="E15" s="168"/>
      <c r="F15" s="168"/>
      <c r="G15" s="168"/>
      <c r="H15" s="168">
        <f t="shared" ref="H15:H20" si="2">D15+H5</f>
        <v>6093.0020000000004</v>
      </c>
      <c r="I15" s="168">
        <f>H15+I5</f>
        <v>6123.0020000000004</v>
      </c>
      <c r="J15" s="168">
        <f t="shared" ref="J15:W15" si="3">I15+J5</f>
        <v>6133.0020000000004</v>
      </c>
      <c r="K15" s="168">
        <f t="shared" si="3"/>
        <v>6138.0020000000004</v>
      </c>
      <c r="L15" s="168">
        <f t="shared" si="3"/>
        <v>6138.0020000000004</v>
      </c>
      <c r="M15" s="168">
        <f t="shared" si="3"/>
        <v>6138.0020000000004</v>
      </c>
      <c r="N15" s="168">
        <f t="shared" si="3"/>
        <v>6138.0020000000004</v>
      </c>
      <c r="O15" s="168">
        <f t="shared" si="3"/>
        <v>6138.0020000000004</v>
      </c>
      <c r="P15" s="168">
        <f t="shared" si="3"/>
        <v>6138.0020000000004</v>
      </c>
      <c r="Q15" s="168">
        <f t="shared" si="3"/>
        <v>6138.0020000000004</v>
      </c>
      <c r="R15" s="168">
        <f t="shared" si="3"/>
        <v>6138.0020000000004</v>
      </c>
      <c r="S15" s="168">
        <f t="shared" si="3"/>
        <v>6138.0020000000004</v>
      </c>
      <c r="T15" s="168">
        <f t="shared" si="3"/>
        <v>6138.0020000000004</v>
      </c>
      <c r="U15" s="168">
        <f t="shared" si="3"/>
        <v>6138.0020000000004</v>
      </c>
      <c r="V15" s="168">
        <f t="shared" si="3"/>
        <v>6138.0020000000004</v>
      </c>
      <c r="W15" s="168">
        <f t="shared" si="3"/>
        <v>6138.0020000000004</v>
      </c>
      <c r="X15" s="106">
        <f>W15</f>
        <v>6138.0020000000004</v>
      </c>
    </row>
    <row r="16" spans="3:24">
      <c r="C16" s="183" t="s">
        <v>3313</v>
      </c>
      <c r="D16" s="184">
        <v>658</v>
      </c>
      <c r="E16" s="184"/>
      <c r="F16" s="184"/>
      <c r="G16" s="184"/>
      <c r="H16" s="184">
        <f t="shared" si="2"/>
        <v>808</v>
      </c>
      <c r="I16" s="184">
        <f>H16+I6</f>
        <v>1008</v>
      </c>
      <c r="J16" s="184">
        <f t="shared" ref="J16:W16" si="4">I16+J6</f>
        <v>1338</v>
      </c>
      <c r="K16" s="184">
        <f t="shared" si="4"/>
        <v>1668</v>
      </c>
      <c r="L16" s="184">
        <f t="shared" si="4"/>
        <v>1998</v>
      </c>
      <c r="M16" s="184">
        <f t="shared" si="4"/>
        <v>1998</v>
      </c>
      <c r="N16" s="184">
        <f t="shared" si="4"/>
        <v>1998</v>
      </c>
      <c r="O16" s="184">
        <f t="shared" si="4"/>
        <v>1998</v>
      </c>
      <c r="P16" s="184">
        <f t="shared" si="4"/>
        <v>1998</v>
      </c>
      <c r="Q16" s="184">
        <f t="shared" si="4"/>
        <v>1998</v>
      </c>
      <c r="R16" s="184">
        <f t="shared" si="4"/>
        <v>1998</v>
      </c>
      <c r="S16" s="184">
        <f t="shared" si="4"/>
        <v>1998</v>
      </c>
      <c r="T16" s="184">
        <f t="shared" si="4"/>
        <v>1998</v>
      </c>
      <c r="U16" s="184">
        <f t="shared" si="4"/>
        <v>1998</v>
      </c>
      <c r="V16" s="184">
        <f t="shared" si="4"/>
        <v>1998</v>
      </c>
      <c r="W16" s="184">
        <f t="shared" si="4"/>
        <v>1998</v>
      </c>
      <c r="X16" s="106">
        <f t="shared" ref="X16:X20" si="5">W16</f>
        <v>1998</v>
      </c>
    </row>
    <row r="17" spans="3:29">
      <c r="C17" s="33" t="s">
        <v>54</v>
      </c>
      <c r="D17" s="169">
        <f>'Вст. Потужн'!P36</f>
        <v>1113.7050000000002</v>
      </c>
      <c r="E17" s="169"/>
      <c r="F17" s="169"/>
      <c r="G17" s="169"/>
      <c r="H17" s="169">
        <f t="shared" si="2"/>
        <v>1463.7050000000002</v>
      </c>
      <c r="I17" s="169">
        <f t="shared" ref="I17:W17" si="6">H17+I7</f>
        <v>2063.7049999999999</v>
      </c>
      <c r="J17" s="169">
        <f t="shared" si="6"/>
        <v>2663.7049999999999</v>
      </c>
      <c r="K17" s="169">
        <f t="shared" si="6"/>
        <v>2663.7049999999999</v>
      </c>
      <c r="L17" s="169">
        <f t="shared" si="6"/>
        <v>2663.7049999999999</v>
      </c>
      <c r="M17" s="169">
        <f t="shared" si="6"/>
        <v>2663.7049999999999</v>
      </c>
      <c r="N17" s="169">
        <f t="shared" si="6"/>
        <v>2663.7049999999999</v>
      </c>
      <c r="O17" s="169">
        <f t="shared" si="6"/>
        <v>2663.7049999999999</v>
      </c>
      <c r="P17" s="169">
        <f t="shared" si="6"/>
        <v>2663.7049999999999</v>
      </c>
      <c r="Q17" s="169">
        <f t="shared" si="6"/>
        <v>2663.7049999999999</v>
      </c>
      <c r="R17" s="169">
        <f t="shared" si="6"/>
        <v>2663.7049999999999</v>
      </c>
      <c r="S17" s="169">
        <f t="shared" si="6"/>
        <v>2663.7049999999999</v>
      </c>
      <c r="T17" s="169">
        <f t="shared" si="6"/>
        <v>2663.7049999999999</v>
      </c>
      <c r="U17" s="169">
        <f t="shared" si="6"/>
        <v>2663.7049999999999</v>
      </c>
      <c r="V17" s="169">
        <f t="shared" si="6"/>
        <v>2663.7049999999999</v>
      </c>
      <c r="W17" s="169">
        <f t="shared" si="6"/>
        <v>2663.7049999999999</v>
      </c>
      <c r="X17" s="106">
        <f t="shared" si="5"/>
        <v>2663.7049999999999</v>
      </c>
    </row>
    <row r="18" spans="3:29">
      <c r="C18" s="33" t="s">
        <v>118</v>
      </c>
      <c r="D18" s="169">
        <f>'Вст. Потужн'!Q36</f>
        <v>91.617999999999995</v>
      </c>
      <c r="E18" s="169"/>
      <c r="F18" s="169"/>
      <c r="G18" s="169"/>
      <c r="H18" s="169">
        <f t="shared" si="2"/>
        <v>106.61799999999999</v>
      </c>
      <c r="I18" s="169">
        <f t="shared" ref="I18:W18" si="7">H18+I8</f>
        <v>126.61799999999999</v>
      </c>
      <c r="J18" s="169">
        <f t="shared" si="7"/>
        <v>154.61799999999999</v>
      </c>
      <c r="K18" s="169">
        <f t="shared" si="7"/>
        <v>154.61799999999999</v>
      </c>
      <c r="L18" s="169">
        <f t="shared" si="7"/>
        <v>154.61799999999999</v>
      </c>
      <c r="M18" s="169">
        <f t="shared" si="7"/>
        <v>154.61799999999999</v>
      </c>
      <c r="N18" s="169">
        <f t="shared" si="7"/>
        <v>154.61799999999999</v>
      </c>
      <c r="O18" s="169">
        <f t="shared" si="7"/>
        <v>154.61799999999999</v>
      </c>
      <c r="P18" s="169">
        <f t="shared" si="7"/>
        <v>154.61799999999999</v>
      </c>
      <c r="Q18" s="169">
        <f t="shared" si="7"/>
        <v>154.61799999999999</v>
      </c>
      <c r="R18" s="169">
        <f t="shared" si="7"/>
        <v>154.61799999999999</v>
      </c>
      <c r="S18" s="169">
        <f t="shared" si="7"/>
        <v>154.61799999999999</v>
      </c>
      <c r="T18" s="169">
        <f t="shared" si="7"/>
        <v>154.61799999999999</v>
      </c>
      <c r="U18" s="169">
        <f t="shared" si="7"/>
        <v>154.61799999999999</v>
      </c>
      <c r="V18" s="169">
        <f t="shared" si="7"/>
        <v>154.61799999999999</v>
      </c>
      <c r="W18" s="169">
        <f t="shared" si="7"/>
        <v>154.61799999999999</v>
      </c>
      <c r="X18" s="106">
        <f t="shared" si="5"/>
        <v>154.61799999999999</v>
      </c>
    </row>
    <row r="19" spans="3:29">
      <c r="C19" s="33" t="s">
        <v>195</v>
      </c>
      <c r="D19" s="169">
        <f>'Вст. Потужн'!R36</f>
        <v>89.830999999999975</v>
      </c>
      <c r="E19" s="169"/>
      <c r="F19" s="169"/>
      <c r="G19" s="169"/>
      <c r="H19" s="169">
        <f t="shared" si="2"/>
        <v>105.83099999999997</v>
      </c>
      <c r="I19" s="169">
        <f t="shared" ref="I19:W19" si="8">H19+I9</f>
        <v>125.83099999999997</v>
      </c>
      <c r="J19" s="169">
        <f t="shared" si="8"/>
        <v>150.83099999999996</v>
      </c>
      <c r="K19" s="169">
        <f t="shared" si="8"/>
        <v>150.83099999999996</v>
      </c>
      <c r="L19" s="169">
        <f t="shared" si="8"/>
        <v>150.83099999999996</v>
      </c>
      <c r="M19" s="169">
        <f t="shared" si="8"/>
        <v>150.83099999999996</v>
      </c>
      <c r="N19" s="169">
        <f t="shared" si="8"/>
        <v>150.83099999999996</v>
      </c>
      <c r="O19" s="169">
        <f t="shared" si="8"/>
        <v>150.83099999999996</v>
      </c>
      <c r="P19" s="169">
        <f t="shared" si="8"/>
        <v>150.83099999999996</v>
      </c>
      <c r="Q19" s="169">
        <f t="shared" si="8"/>
        <v>150.83099999999996</v>
      </c>
      <c r="R19" s="169">
        <f t="shared" si="8"/>
        <v>150.83099999999996</v>
      </c>
      <c r="S19" s="169">
        <f t="shared" si="8"/>
        <v>150.83099999999996</v>
      </c>
      <c r="T19" s="169">
        <f t="shared" si="8"/>
        <v>150.83099999999996</v>
      </c>
      <c r="U19" s="169">
        <f t="shared" si="8"/>
        <v>150.83099999999996</v>
      </c>
      <c r="V19" s="169">
        <f t="shared" si="8"/>
        <v>150.83099999999996</v>
      </c>
      <c r="W19" s="169">
        <f t="shared" si="8"/>
        <v>150.83099999999996</v>
      </c>
      <c r="X19" s="106">
        <f t="shared" si="5"/>
        <v>150.83099999999996</v>
      </c>
    </row>
    <row r="20" spans="3:29">
      <c r="C20" s="72" t="s">
        <v>2715</v>
      </c>
      <c r="D20" s="170">
        <f>'Вст. Потужн'!S36</f>
        <v>115.089</v>
      </c>
      <c r="E20" s="170"/>
      <c r="F20" s="170"/>
      <c r="G20" s="170"/>
      <c r="H20" s="170">
        <f t="shared" si="2"/>
        <v>120.089</v>
      </c>
      <c r="I20" s="170">
        <f t="shared" ref="I20:W20" si="9">H20+I10</f>
        <v>125.089</v>
      </c>
      <c r="J20" s="170">
        <f t="shared" si="9"/>
        <v>130.089</v>
      </c>
      <c r="K20" s="170">
        <f t="shared" si="9"/>
        <v>130.089</v>
      </c>
      <c r="L20" s="170">
        <f t="shared" si="9"/>
        <v>130.089</v>
      </c>
      <c r="M20" s="170">
        <f t="shared" si="9"/>
        <v>130.089</v>
      </c>
      <c r="N20" s="170">
        <f t="shared" si="9"/>
        <v>130.089</v>
      </c>
      <c r="O20" s="170">
        <f t="shared" si="9"/>
        <v>130.089</v>
      </c>
      <c r="P20" s="170">
        <f t="shared" si="9"/>
        <v>130.089</v>
      </c>
      <c r="Q20" s="170">
        <f t="shared" si="9"/>
        <v>130.089</v>
      </c>
      <c r="R20" s="170">
        <f t="shared" si="9"/>
        <v>130.089</v>
      </c>
      <c r="S20" s="170">
        <f t="shared" si="9"/>
        <v>130.089</v>
      </c>
      <c r="T20" s="170">
        <f t="shared" si="9"/>
        <v>130.089</v>
      </c>
      <c r="U20" s="170">
        <f t="shared" si="9"/>
        <v>130.089</v>
      </c>
      <c r="V20" s="170">
        <f t="shared" si="9"/>
        <v>130.089</v>
      </c>
      <c r="W20" s="170">
        <f t="shared" si="9"/>
        <v>130.089</v>
      </c>
      <c r="X20" s="106">
        <f t="shared" si="5"/>
        <v>130.089</v>
      </c>
    </row>
    <row r="21" spans="3:29">
      <c r="C21" s="100" t="s">
        <v>3241</v>
      </c>
      <c r="D21" s="171">
        <f>SUM(D15:D20)</f>
        <v>7811.2450000000008</v>
      </c>
      <c r="E21" s="171"/>
      <c r="F21" s="171"/>
      <c r="G21" s="171"/>
      <c r="H21" s="171">
        <f t="shared" ref="H21:W21" si="10">SUM(H15:H20)</f>
        <v>8697.2450000000008</v>
      </c>
      <c r="I21" s="171">
        <f t="shared" si="10"/>
        <v>9572.2450000000008</v>
      </c>
      <c r="J21" s="171">
        <f t="shared" si="10"/>
        <v>10570.245000000001</v>
      </c>
      <c r="K21" s="171">
        <f t="shared" si="10"/>
        <v>10905.245000000001</v>
      </c>
      <c r="L21" s="171">
        <f t="shared" si="10"/>
        <v>11235.245000000001</v>
      </c>
      <c r="M21" s="171">
        <f t="shared" si="10"/>
        <v>11235.245000000001</v>
      </c>
      <c r="N21" s="171">
        <f t="shared" si="10"/>
        <v>11235.245000000001</v>
      </c>
      <c r="O21" s="171">
        <f t="shared" si="10"/>
        <v>11235.245000000001</v>
      </c>
      <c r="P21" s="171">
        <f t="shared" si="10"/>
        <v>11235.245000000001</v>
      </c>
      <c r="Q21" s="171">
        <f t="shared" si="10"/>
        <v>11235.245000000001</v>
      </c>
      <c r="R21" s="171">
        <f t="shared" si="10"/>
        <v>11235.245000000001</v>
      </c>
      <c r="S21" s="171">
        <f t="shared" si="10"/>
        <v>11235.245000000001</v>
      </c>
      <c r="T21" s="171">
        <f t="shared" si="10"/>
        <v>11235.245000000001</v>
      </c>
      <c r="U21" s="171">
        <f t="shared" si="10"/>
        <v>11235.245000000001</v>
      </c>
      <c r="V21" s="171">
        <f t="shared" si="10"/>
        <v>11235.245000000001</v>
      </c>
      <c r="W21" s="171">
        <f t="shared" si="10"/>
        <v>11235.245000000001</v>
      </c>
    </row>
    <row r="22" spans="3:29" ht="6" customHeight="1">
      <c r="C22" s="105"/>
      <c r="D22" s="105"/>
      <c r="E22" s="105"/>
      <c r="F22" s="105"/>
      <c r="G22" s="105"/>
    </row>
    <row r="23" spans="3:29" s="163" customFormat="1" ht="6" customHeight="1">
      <c r="C23" s="105"/>
      <c r="D23" s="105"/>
      <c r="E23" s="105"/>
      <c r="F23" s="105"/>
      <c r="G23" s="105"/>
    </row>
    <row r="24" spans="3:29" s="163" customFormat="1" ht="6" customHeight="1">
      <c r="C24" s="105"/>
      <c r="D24" s="105"/>
      <c r="E24" s="105"/>
      <c r="F24" s="105"/>
      <c r="G24" s="105"/>
    </row>
    <row r="25" spans="3:29" ht="15.75">
      <c r="C25" s="277" t="s">
        <v>3490</v>
      </c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</row>
    <row r="26" spans="3:29">
      <c r="C26" s="173" t="s">
        <v>2</v>
      </c>
      <c r="D26" s="173"/>
      <c r="E26" s="173"/>
      <c r="F26" s="173"/>
      <c r="G26" s="173"/>
      <c r="H26" s="173">
        <v>2020</v>
      </c>
      <c r="I26" s="173">
        <v>2021</v>
      </c>
      <c r="J26" s="173">
        <v>2022</v>
      </c>
      <c r="K26" s="173">
        <v>2023</v>
      </c>
      <c r="L26" s="173">
        <v>2024</v>
      </c>
      <c r="M26" s="173">
        <v>2025</v>
      </c>
      <c r="N26" s="173">
        <v>2026</v>
      </c>
      <c r="O26" s="173">
        <v>2027</v>
      </c>
      <c r="P26" s="173">
        <v>2028</v>
      </c>
      <c r="Q26" s="173">
        <v>2029</v>
      </c>
      <c r="R26" s="173">
        <v>2030</v>
      </c>
      <c r="S26" s="173">
        <v>2031</v>
      </c>
      <c r="T26" s="173">
        <v>2032</v>
      </c>
      <c r="U26" s="173">
        <v>2033</v>
      </c>
      <c r="V26" s="173">
        <v>2034</v>
      </c>
      <c r="W26" s="173">
        <v>2035</v>
      </c>
    </row>
    <row r="27" spans="3:29">
      <c r="C27" s="33" t="s">
        <v>384</v>
      </c>
      <c r="D27" s="180"/>
      <c r="E27" s="180"/>
      <c r="F27" s="180"/>
      <c r="G27" s="180"/>
      <c r="H27" s="33">
        <v>50</v>
      </c>
      <c r="I27" s="33">
        <v>105</v>
      </c>
      <c r="J27" s="33">
        <v>110</v>
      </c>
      <c r="K27" s="33">
        <v>110</v>
      </c>
      <c r="L27" s="33">
        <v>140</v>
      </c>
      <c r="M27" s="33">
        <v>170</v>
      </c>
      <c r="N27" s="33">
        <v>260</v>
      </c>
      <c r="O27" s="33">
        <v>260</v>
      </c>
      <c r="P27" s="33">
        <v>260</v>
      </c>
      <c r="Q27" s="33">
        <v>260</v>
      </c>
      <c r="R27" s="180"/>
      <c r="S27" s="180"/>
      <c r="T27" s="180"/>
      <c r="U27" s="180"/>
      <c r="V27" s="207"/>
      <c r="W27" s="208"/>
      <c r="X27">
        <f>SUM(H27:W27)</f>
        <v>1725</v>
      </c>
      <c r="Z27">
        <f>Z134</f>
        <v>0.2</v>
      </c>
      <c r="AA27" s="32">
        <f>AA134</f>
        <v>1865.9018005755302</v>
      </c>
      <c r="AC27">
        <f>AA27/9</f>
        <v>207.32242228617002</v>
      </c>
    </row>
    <row r="28" spans="3:29">
      <c r="C28" s="33" t="s">
        <v>54</v>
      </c>
      <c r="D28" s="180"/>
      <c r="E28" s="180"/>
      <c r="F28" s="180"/>
      <c r="G28" s="180"/>
      <c r="H28" s="33">
        <v>50</v>
      </c>
      <c r="I28" s="33">
        <v>150</v>
      </c>
      <c r="J28" s="33">
        <v>200</v>
      </c>
      <c r="K28" s="33">
        <v>230</v>
      </c>
      <c r="L28" s="33">
        <v>260</v>
      </c>
      <c r="M28" s="33">
        <v>280</v>
      </c>
      <c r="N28" s="33">
        <v>290</v>
      </c>
      <c r="O28" s="33">
        <v>290</v>
      </c>
      <c r="P28" s="33">
        <v>290</v>
      </c>
      <c r="Q28" s="33">
        <v>290</v>
      </c>
      <c r="R28" s="180"/>
      <c r="S28" s="180"/>
      <c r="T28" s="180"/>
      <c r="U28" s="180"/>
      <c r="V28" s="180"/>
      <c r="W28" s="180"/>
      <c r="X28" s="163">
        <f t="shared" ref="X28:X31" si="11">SUM(H28:W28)</f>
        <v>2330</v>
      </c>
      <c r="Z28" s="163">
        <f>Z135</f>
        <v>0.6</v>
      </c>
      <c r="AA28" s="32">
        <f>AA135</f>
        <v>2072.6638919906563</v>
      </c>
      <c r="AC28">
        <f>AA28/9</f>
        <v>230.29598799896181</v>
      </c>
    </row>
    <row r="29" spans="3:29">
      <c r="C29" s="33" t="s">
        <v>118</v>
      </c>
      <c r="D29" s="180"/>
      <c r="E29" s="180"/>
      <c r="F29" s="180"/>
      <c r="G29" s="180"/>
      <c r="H29" s="33">
        <v>25</v>
      </c>
      <c r="I29" s="33">
        <v>50</v>
      </c>
      <c r="J29" s="33">
        <v>50</v>
      </c>
      <c r="K29" s="33">
        <v>50</v>
      </c>
      <c r="L29" s="33">
        <v>50</v>
      </c>
      <c r="M29" s="33">
        <v>55</v>
      </c>
      <c r="N29" s="33">
        <v>55</v>
      </c>
      <c r="O29" s="33">
        <v>60</v>
      </c>
      <c r="P29" s="33">
        <v>60</v>
      </c>
      <c r="Q29" s="33">
        <v>60</v>
      </c>
      <c r="R29" s="180"/>
      <c r="S29" s="180"/>
      <c r="T29" s="180"/>
      <c r="U29" s="180"/>
      <c r="V29" s="180"/>
      <c r="W29" s="180"/>
      <c r="X29" s="163">
        <f t="shared" si="11"/>
        <v>515</v>
      </c>
      <c r="Z29" s="209">
        <v>0.09</v>
      </c>
      <c r="AA29" s="32">
        <f>$AA$136/$Z$136*Z29</f>
        <v>261.4382863760942</v>
      </c>
      <c r="AC29">
        <f>AA29/9</f>
        <v>29.048698486232688</v>
      </c>
    </row>
    <row r="30" spans="3:29">
      <c r="C30" s="33" t="s">
        <v>195</v>
      </c>
      <c r="D30" s="180"/>
      <c r="E30" s="180"/>
      <c r="F30" s="180"/>
      <c r="G30" s="180"/>
      <c r="H30" s="33">
        <v>20</v>
      </c>
      <c r="I30" s="33">
        <v>45</v>
      </c>
      <c r="J30" s="33">
        <v>50</v>
      </c>
      <c r="K30" s="33">
        <v>50</v>
      </c>
      <c r="L30" s="33">
        <v>50</v>
      </c>
      <c r="M30" s="33">
        <v>55</v>
      </c>
      <c r="N30" s="33">
        <v>55</v>
      </c>
      <c r="O30" s="33">
        <v>60</v>
      </c>
      <c r="P30" s="33">
        <v>60</v>
      </c>
      <c r="Q30" s="33">
        <v>60</v>
      </c>
      <c r="R30" s="180"/>
      <c r="S30" s="180"/>
      <c r="T30" s="180"/>
      <c r="U30" s="180"/>
      <c r="V30" s="180"/>
      <c r="W30" s="180"/>
      <c r="X30" s="163">
        <f t="shared" si="11"/>
        <v>505</v>
      </c>
      <c r="Z30" s="209">
        <v>0.09</v>
      </c>
      <c r="AA30" s="32">
        <f>$AA$136/$Z$136*Z30</f>
        <v>261.4382863760942</v>
      </c>
      <c r="AC30" s="163">
        <f>AA30/9</f>
        <v>29.048698486232688</v>
      </c>
    </row>
    <row r="31" spans="3:29">
      <c r="C31" s="33" t="s">
        <v>2715</v>
      </c>
      <c r="D31" s="180"/>
      <c r="E31" s="180"/>
      <c r="F31" s="180"/>
      <c r="G31" s="180"/>
      <c r="H31" s="33">
        <v>5</v>
      </c>
      <c r="I31" s="33">
        <v>5</v>
      </c>
      <c r="J31" s="33">
        <v>5</v>
      </c>
      <c r="K31" s="33">
        <v>5</v>
      </c>
      <c r="L31" s="33">
        <v>10</v>
      </c>
      <c r="M31" s="33">
        <v>10</v>
      </c>
      <c r="N31" s="33">
        <v>10</v>
      </c>
      <c r="O31" s="33">
        <v>10</v>
      </c>
      <c r="P31" s="33">
        <v>10</v>
      </c>
      <c r="Q31" s="33">
        <v>10</v>
      </c>
      <c r="R31" s="180"/>
      <c r="S31" s="180"/>
      <c r="T31" s="180"/>
      <c r="U31" s="180"/>
      <c r="V31" s="180"/>
      <c r="W31" s="180"/>
      <c r="X31" s="163">
        <f t="shared" si="11"/>
        <v>80</v>
      </c>
      <c r="Z31" s="209">
        <v>0.02</v>
      </c>
      <c r="AA31" s="32">
        <f>$AA$136/$Z$136*Z31</f>
        <v>58.097396972465376</v>
      </c>
      <c r="AC31" s="163">
        <f>AA31/9</f>
        <v>6.4552663302739308</v>
      </c>
    </row>
    <row r="32" spans="3:29">
      <c r="C32" s="166" t="s">
        <v>3241</v>
      </c>
      <c r="D32" s="192"/>
      <c r="E32" s="192"/>
      <c r="F32" s="192"/>
      <c r="G32" s="192"/>
      <c r="H32" s="166">
        <f>SUM(H27:H31)</f>
        <v>150</v>
      </c>
      <c r="I32" s="166">
        <f t="shared" ref="I32:W32" si="12">SUM(I27:I31)</f>
        <v>355</v>
      </c>
      <c r="J32" s="166">
        <f t="shared" si="12"/>
        <v>415</v>
      </c>
      <c r="K32" s="166">
        <f t="shared" si="12"/>
        <v>445</v>
      </c>
      <c r="L32" s="166">
        <f t="shared" si="12"/>
        <v>510</v>
      </c>
      <c r="M32" s="166">
        <f t="shared" si="12"/>
        <v>570</v>
      </c>
      <c r="N32" s="166">
        <f t="shared" si="12"/>
        <v>670</v>
      </c>
      <c r="O32" s="166">
        <f t="shared" si="12"/>
        <v>680</v>
      </c>
      <c r="P32" s="166">
        <f t="shared" si="12"/>
        <v>680</v>
      </c>
      <c r="Q32" s="166">
        <f t="shared" si="12"/>
        <v>680</v>
      </c>
      <c r="R32" s="192">
        <f t="shared" si="12"/>
        <v>0</v>
      </c>
      <c r="S32" s="192">
        <f t="shared" si="12"/>
        <v>0</v>
      </c>
      <c r="T32" s="192">
        <f t="shared" si="12"/>
        <v>0</v>
      </c>
      <c r="U32" s="192">
        <f t="shared" si="12"/>
        <v>0</v>
      </c>
      <c r="V32" s="192">
        <f t="shared" si="12"/>
        <v>0</v>
      </c>
      <c r="W32" s="192">
        <f t="shared" si="12"/>
        <v>0</v>
      </c>
      <c r="AA32" s="32">
        <f>SUM(AA27:AA31)</f>
        <v>4519.5396622908402</v>
      </c>
    </row>
    <row r="33" spans="3:41" s="163" customFormat="1">
      <c r="C33" s="177"/>
      <c r="D33" s="219"/>
      <c r="E33" s="219"/>
      <c r="F33" s="219"/>
      <c r="G33" s="219" t="s">
        <v>3522</v>
      </c>
      <c r="H33" s="220">
        <f>H29+H30+H31</f>
        <v>50</v>
      </c>
      <c r="I33" s="221">
        <f t="shared" ref="I33:Q33" si="13">I29+I30+I31</f>
        <v>100</v>
      </c>
      <c r="J33" s="221">
        <f t="shared" si="13"/>
        <v>105</v>
      </c>
      <c r="K33" s="221">
        <f t="shared" si="13"/>
        <v>105</v>
      </c>
      <c r="L33" s="221">
        <f t="shared" si="13"/>
        <v>110</v>
      </c>
      <c r="M33" s="221">
        <f t="shared" si="13"/>
        <v>120</v>
      </c>
      <c r="N33" s="221">
        <f t="shared" si="13"/>
        <v>120</v>
      </c>
      <c r="O33" s="221">
        <f t="shared" si="13"/>
        <v>130</v>
      </c>
      <c r="P33" s="221">
        <f t="shared" si="13"/>
        <v>130</v>
      </c>
      <c r="Q33" s="222">
        <f t="shared" si="13"/>
        <v>130</v>
      </c>
      <c r="R33" s="219"/>
      <c r="S33" s="219"/>
      <c r="T33" s="219"/>
      <c r="U33" s="219"/>
      <c r="V33" s="219"/>
      <c r="W33" s="219"/>
      <c r="AA33" s="32"/>
    </row>
    <row r="34" spans="3:41" s="163" customFormat="1" ht="25.9" customHeight="1"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</row>
    <row r="35" spans="3:41" s="163" customFormat="1" ht="15.75">
      <c r="C35" s="279" t="s">
        <v>3492</v>
      </c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AC35" s="163">
        <v>150</v>
      </c>
      <c r="AD35" s="163">
        <v>150</v>
      </c>
      <c r="AE35" s="163">
        <v>200</v>
      </c>
      <c r="AF35" s="163">
        <v>200</v>
      </c>
      <c r="AG35" s="163">
        <v>200</v>
      </c>
      <c r="AH35" s="163">
        <v>200</v>
      </c>
      <c r="AI35" s="163">
        <v>200</v>
      </c>
      <c r="AJ35" s="163">
        <v>200</v>
      </c>
      <c r="AK35" s="163">
        <v>200</v>
      </c>
    </row>
    <row r="36" spans="3:41" s="163" customFormat="1">
      <c r="C36" s="173" t="s">
        <v>2</v>
      </c>
      <c r="D36" s="173"/>
      <c r="E36" s="173"/>
      <c r="F36" s="173"/>
      <c r="G36" s="173"/>
      <c r="H36" s="173">
        <v>2020</v>
      </c>
      <c r="I36" s="173">
        <v>2021</v>
      </c>
      <c r="J36" s="173">
        <v>2022</v>
      </c>
      <c r="K36" s="173">
        <v>2023</v>
      </c>
      <c r="L36" s="173">
        <v>2024</v>
      </c>
      <c r="M36" s="173">
        <v>2025</v>
      </c>
      <c r="N36" s="173">
        <v>2026</v>
      </c>
      <c r="O36" s="173">
        <v>2027</v>
      </c>
      <c r="P36" s="173">
        <v>2028</v>
      </c>
      <c r="Q36" s="173">
        <v>2029</v>
      </c>
      <c r="R36" s="173">
        <v>2030</v>
      </c>
      <c r="S36" s="173">
        <v>2031</v>
      </c>
      <c r="T36" s="173">
        <v>2032</v>
      </c>
      <c r="U36" s="173">
        <v>2033</v>
      </c>
      <c r="V36" s="173">
        <v>2034</v>
      </c>
      <c r="W36" s="173">
        <v>2035</v>
      </c>
      <c r="AC36" s="163">
        <v>150</v>
      </c>
      <c r="AD36" s="163">
        <v>170</v>
      </c>
      <c r="AE36" s="163">
        <v>230</v>
      </c>
      <c r="AF36" s="163">
        <v>230</v>
      </c>
      <c r="AG36" s="163">
        <v>250</v>
      </c>
      <c r="AH36" s="163">
        <v>250</v>
      </c>
      <c r="AI36" s="163">
        <v>250</v>
      </c>
      <c r="AJ36" s="163">
        <v>250</v>
      </c>
      <c r="AK36" s="163">
        <v>250</v>
      </c>
    </row>
    <row r="37" spans="3:41" s="163" customFormat="1">
      <c r="C37" s="33" t="s">
        <v>384</v>
      </c>
      <c r="D37" s="180"/>
      <c r="E37" s="180"/>
      <c r="F37" s="180"/>
      <c r="G37" s="180"/>
      <c r="H37" s="172"/>
      <c r="I37" s="33">
        <f>H27</f>
        <v>50</v>
      </c>
      <c r="J37" s="33">
        <f t="shared" ref="J37:W37" si="14">I37+I27</f>
        <v>155</v>
      </c>
      <c r="K37" s="33">
        <f t="shared" si="14"/>
        <v>265</v>
      </c>
      <c r="L37" s="33">
        <f t="shared" si="14"/>
        <v>375</v>
      </c>
      <c r="M37" s="33">
        <f t="shared" si="14"/>
        <v>515</v>
      </c>
      <c r="N37" s="33">
        <f t="shared" si="14"/>
        <v>685</v>
      </c>
      <c r="O37" s="33">
        <f t="shared" si="14"/>
        <v>945</v>
      </c>
      <c r="P37" s="33">
        <f t="shared" si="14"/>
        <v>1205</v>
      </c>
      <c r="Q37" s="33">
        <f t="shared" si="14"/>
        <v>1465</v>
      </c>
      <c r="R37" s="33">
        <f t="shared" si="14"/>
        <v>1725</v>
      </c>
      <c r="S37" s="33">
        <f t="shared" si="14"/>
        <v>1725</v>
      </c>
      <c r="T37" s="33">
        <f t="shared" si="14"/>
        <v>1725</v>
      </c>
      <c r="U37" s="33">
        <f t="shared" si="14"/>
        <v>1725</v>
      </c>
      <c r="V37" s="33">
        <f t="shared" si="14"/>
        <v>1725</v>
      </c>
      <c r="W37" s="33">
        <f t="shared" si="14"/>
        <v>1725</v>
      </c>
    </row>
    <row r="38" spans="3:41" s="163" customFormat="1">
      <c r="C38" s="33" t="s">
        <v>54</v>
      </c>
      <c r="D38" s="180"/>
      <c r="E38" s="180"/>
      <c r="F38" s="180"/>
      <c r="G38" s="180"/>
      <c r="H38" s="172"/>
      <c r="I38" s="172"/>
      <c r="J38" s="33">
        <f>H28</f>
        <v>50</v>
      </c>
      <c r="K38" s="33">
        <f t="shared" ref="K38:W41" si="15">J38+I28</f>
        <v>200</v>
      </c>
      <c r="L38" s="33">
        <f t="shared" si="15"/>
        <v>400</v>
      </c>
      <c r="M38" s="33">
        <f t="shared" si="15"/>
        <v>630</v>
      </c>
      <c r="N38" s="33">
        <f t="shared" si="15"/>
        <v>890</v>
      </c>
      <c r="O38" s="33">
        <f t="shared" si="15"/>
        <v>1170</v>
      </c>
      <c r="P38" s="33">
        <f t="shared" si="15"/>
        <v>1460</v>
      </c>
      <c r="Q38" s="33">
        <f t="shared" si="15"/>
        <v>1750</v>
      </c>
      <c r="R38" s="33">
        <f t="shared" si="15"/>
        <v>2040</v>
      </c>
      <c r="S38" s="33">
        <f t="shared" si="15"/>
        <v>2330</v>
      </c>
      <c r="T38" s="33">
        <f t="shared" si="15"/>
        <v>2330</v>
      </c>
      <c r="U38" s="33">
        <f t="shared" si="15"/>
        <v>2330</v>
      </c>
      <c r="V38" s="33">
        <f t="shared" si="15"/>
        <v>2330</v>
      </c>
      <c r="W38" s="33">
        <f t="shared" si="15"/>
        <v>2330</v>
      </c>
      <c r="AC38" s="163">
        <v>150</v>
      </c>
      <c r="AD38" s="163">
        <v>150</v>
      </c>
      <c r="AE38" s="163">
        <v>150</v>
      </c>
      <c r="AF38" s="163">
        <v>200</v>
      </c>
      <c r="AG38" s="163">
        <v>200</v>
      </c>
      <c r="AH38" s="163">
        <v>200</v>
      </c>
      <c r="AI38" s="163">
        <v>250</v>
      </c>
      <c r="AJ38" s="163">
        <v>250</v>
      </c>
      <c r="AK38" s="163">
        <v>250</v>
      </c>
    </row>
    <row r="39" spans="3:41" s="163" customFormat="1">
      <c r="C39" s="33" t="s">
        <v>118</v>
      </c>
      <c r="D39" s="180"/>
      <c r="E39" s="180"/>
      <c r="F39" s="180"/>
      <c r="G39" s="180"/>
      <c r="H39" s="172"/>
      <c r="I39" s="172"/>
      <c r="J39" s="33">
        <f>H29</f>
        <v>25</v>
      </c>
      <c r="K39" s="33">
        <f t="shared" si="15"/>
        <v>75</v>
      </c>
      <c r="L39" s="33">
        <f t="shared" si="15"/>
        <v>125</v>
      </c>
      <c r="M39" s="33">
        <f t="shared" si="15"/>
        <v>175</v>
      </c>
      <c r="N39" s="33">
        <f t="shared" si="15"/>
        <v>225</v>
      </c>
      <c r="O39" s="33">
        <f t="shared" si="15"/>
        <v>280</v>
      </c>
      <c r="P39" s="33">
        <f t="shared" si="15"/>
        <v>335</v>
      </c>
      <c r="Q39" s="33">
        <f t="shared" si="15"/>
        <v>395</v>
      </c>
      <c r="R39" s="33">
        <f t="shared" si="15"/>
        <v>455</v>
      </c>
      <c r="S39" s="33">
        <f t="shared" si="15"/>
        <v>515</v>
      </c>
      <c r="T39" s="33">
        <f t="shared" si="15"/>
        <v>515</v>
      </c>
      <c r="U39" s="33">
        <f t="shared" si="15"/>
        <v>515</v>
      </c>
      <c r="V39" s="33">
        <f t="shared" si="15"/>
        <v>515</v>
      </c>
      <c r="W39" s="33">
        <f t="shared" si="15"/>
        <v>515</v>
      </c>
    </row>
    <row r="40" spans="3:41" s="163" customFormat="1">
      <c r="C40" s="33" t="s">
        <v>195</v>
      </c>
      <c r="D40" s="180"/>
      <c r="E40" s="180"/>
      <c r="F40" s="180"/>
      <c r="G40" s="180"/>
      <c r="H40" s="172"/>
      <c r="I40" s="172"/>
      <c r="J40" s="33">
        <f>H30</f>
        <v>20</v>
      </c>
      <c r="K40" s="33">
        <f t="shared" si="15"/>
        <v>65</v>
      </c>
      <c r="L40" s="33">
        <f t="shared" si="15"/>
        <v>115</v>
      </c>
      <c r="M40" s="33">
        <f t="shared" si="15"/>
        <v>165</v>
      </c>
      <c r="N40" s="33">
        <f t="shared" si="15"/>
        <v>215</v>
      </c>
      <c r="O40" s="33">
        <f t="shared" si="15"/>
        <v>270</v>
      </c>
      <c r="P40" s="33">
        <f t="shared" si="15"/>
        <v>325</v>
      </c>
      <c r="Q40" s="33">
        <f t="shared" si="15"/>
        <v>385</v>
      </c>
      <c r="R40" s="33">
        <f t="shared" si="15"/>
        <v>445</v>
      </c>
      <c r="S40" s="33">
        <f t="shared" si="15"/>
        <v>505</v>
      </c>
      <c r="T40" s="33">
        <f t="shared" si="15"/>
        <v>505</v>
      </c>
      <c r="U40" s="33">
        <f t="shared" si="15"/>
        <v>505</v>
      </c>
      <c r="V40" s="33">
        <f t="shared" si="15"/>
        <v>505</v>
      </c>
      <c r="W40" s="33">
        <f t="shared" si="15"/>
        <v>505</v>
      </c>
    </row>
    <row r="41" spans="3:41" s="163" customFormat="1" ht="12.6" customHeight="1">
      <c r="C41" s="33" t="s">
        <v>2715</v>
      </c>
      <c r="D41" s="180"/>
      <c r="E41" s="180"/>
      <c r="F41" s="180"/>
      <c r="G41" s="180"/>
      <c r="H41" s="172"/>
      <c r="I41" s="172"/>
      <c r="J41" s="33">
        <f>H31</f>
        <v>5</v>
      </c>
      <c r="K41" s="33">
        <f t="shared" si="15"/>
        <v>10</v>
      </c>
      <c r="L41" s="33">
        <f t="shared" si="15"/>
        <v>15</v>
      </c>
      <c r="M41" s="33">
        <f t="shared" si="15"/>
        <v>20</v>
      </c>
      <c r="N41" s="33">
        <f t="shared" si="15"/>
        <v>30</v>
      </c>
      <c r="O41" s="33">
        <f t="shared" si="15"/>
        <v>40</v>
      </c>
      <c r="P41" s="33">
        <f t="shared" si="15"/>
        <v>50</v>
      </c>
      <c r="Q41" s="33">
        <f t="shared" si="15"/>
        <v>60</v>
      </c>
      <c r="R41" s="33">
        <f t="shared" si="15"/>
        <v>70</v>
      </c>
      <c r="S41" s="33">
        <f t="shared" si="15"/>
        <v>80</v>
      </c>
      <c r="T41" s="33">
        <f t="shared" si="15"/>
        <v>80</v>
      </c>
      <c r="U41" s="33">
        <f t="shared" si="15"/>
        <v>80</v>
      </c>
      <c r="V41" s="33">
        <f t="shared" si="15"/>
        <v>80</v>
      </c>
      <c r="W41" s="33">
        <f t="shared" si="15"/>
        <v>80</v>
      </c>
    </row>
    <row r="42" spans="3:41" ht="13.9" customHeight="1">
      <c r="C42" s="166" t="s">
        <v>3241</v>
      </c>
      <c r="D42" s="192"/>
      <c r="E42" s="192"/>
      <c r="F42" s="192"/>
      <c r="G42" s="192"/>
      <c r="H42" s="192">
        <f>SUM(H37:H41)</f>
        <v>0</v>
      </c>
      <c r="I42" s="166">
        <f t="shared" ref="I42:W42" si="16">SUM(I37:I41)</f>
        <v>50</v>
      </c>
      <c r="J42" s="166">
        <f t="shared" si="16"/>
        <v>255</v>
      </c>
      <c r="K42" s="166">
        <f t="shared" si="16"/>
        <v>615</v>
      </c>
      <c r="L42" s="166">
        <f t="shared" si="16"/>
        <v>1030</v>
      </c>
      <c r="M42" s="166">
        <f t="shared" si="16"/>
        <v>1505</v>
      </c>
      <c r="N42" s="166">
        <f t="shared" si="16"/>
        <v>2045</v>
      </c>
      <c r="O42" s="166">
        <f t="shared" si="16"/>
        <v>2705</v>
      </c>
      <c r="P42" s="166">
        <f t="shared" si="16"/>
        <v>3375</v>
      </c>
      <c r="Q42" s="166">
        <f t="shared" si="16"/>
        <v>4055</v>
      </c>
      <c r="R42" s="166">
        <f t="shared" si="16"/>
        <v>4735</v>
      </c>
      <c r="S42" s="166">
        <f t="shared" si="16"/>
        <v>5155</v>
      </c>
      <c r="T42" s="166">
        <f t="shared" si="16"/>
        <v>5155</v>
      </c>
      <c r="U42" s="166">
        <f t="shared" si="16"/>
        <v>5155</v>
      </c>
      <c r="V42" s="166">
        <f t="shared" si="16"/>
        <v>5155</v>
      </c>
      <c r="W42" s="166">
        <f t="shared" si="16"/>
        <v>5155</v>
      </c>
    </row>
    <row r="43" spans="3:41" s="163" customFormat="1" ht="7.15" customHeight="1"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</row>
    <row r="44" spans="3:41" s="163" customFormat="1" ht="13.9" customHeight="1" thickBot="1">
      <c r="C44" s="278" t="s">
        <v>3491</v>
      </c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AB44" s="163">
        <v>0.05</v>
      </c>
      <c r="AF44" s="163" t="s">
        <v>3524</v>
      </c>
    </row>
    <row r="45" spans="3:41">
      <c r="C45" s="173" t="s">
        <v>2</v>
      </c>
      <c r="D45" s="175"/>
      <c r="E45" s="175">
        <v>2017</v>
      </c>
      <c r="F45" s="175">
        <v>2018</v>
      </c>
      <c r="G45" s="175">
        <v>2019</v>
      </c>
      <c r="H45" s="175">
        <v>2020</v>
      </c>
      <c r="I45" s="175">
        <v>2021</v>
      </c>
      <c r="J45" s="175">
        <v>2022</v>
      </c>
      <c r="K45" s="175">
        <v>2023</v>
      </c>
      <c r="L45" s="175">
        <v>2024</v>
      </c>
      <c r="M45" s="175">
        <v>2025</v>
      </c>
      <c r="N45" s="175">
        <v>2026</v>
      </c>
      <c r="O45" s="175">
        <v>2027</v>
      </c>
      <c r="P45" s="175">
        <v>2028</v>
      </c>
      <c r="Q45" s="175">
        <v>2029</v>
      </c>
      <c r="R45" s="175">
        <v>2030</v>
      </c>
      <c r="S45" s="175">
        <v>2031</v>
      </c>
      <c r="T45" s="175">
        <v>2032</v>
      </c>
      <c r="U45" s="175">
        <v>2033</v>
      </c>
      <c r="V45" s="175">
        <v>2034</v>
      </c>
      <c r="W45" s="224">
        <v>2035</v>
      </c>
      <c r="X45" s="228" t="s">
        <v>3521</v>
      </c>
      <c r="AF45">
        <v>2020</v>
      </c>
      <c r="AG45">
        <v>2021</v>
      </c>
      <c r="AH45" s="163">
        <v>2022</v>
      </c>
      <c r="AI45" s="163">
        <v>2023</v>
      </c>
      <c r="AJ45" s="163">
        <v>2024</v>
      </c>
      <c r="AK45" s="163">
        <v>2025</v>
      </c>
      <c r="AL45" s="163">
        <v>2026</v>
      </c>
      <c r="AM45" s="163">
        <v>2027</v>
      </c>
      <c r="AN45" s="163">
        <v>2028</v>
      </c>
      <c r="AO45" s="163">
        <v>2029</v>
      </c>
    </row>
    <row r="46" spans="3:41">
      <c r="C46" s="71" t="s">
        <v>384</v>
      </c>
      <c r="D46" s="115"/>
      <c r="E46" s="115">
        <v>741.89300000000003</v>
      </c>
      <c r="F46" s="115">
        <v>1388.2760000000001</v>
      </c>
      <c r="G46" s="115">
        <v>4924.6099999999997</v>
      </c>
      <c r="H46" s="115">
        <f t="shared" ref="H46:W46" si="17">H15+H37</f>
        <v>6093.0020000000004</v>
      </c>
      <c r="I46" s="115">
        <f t="shared" si="17"/>
        <v>6173.0020000000004</v>
      </c>
      <c r="J46" s="115">
        <f t="shared" si="17"/>
        <v>6288.0020000000004</v>
      </c>
      <c r="K46" s="115">
        <f t="shared" si="17"/>
        <v>6403.0020000000004</v>
      </c>
      <c r="L46" s="115">
        <f t="shared" si="17"/>
        <v>6513.0020000000004</v>
      </c>
      <c r="M46" s="115">
        <f t="shared" si="17"/>
        <v>6653.0020000000004</v>
      </c>
      <c r="N46" s="115">
        <f t="shared" si="17"/>
        <v>6823.0020000000004</v>
      </c>
      <c r="O46" s="115">
        <f t="shared" si="17"/>
        <v>7083.0020000000004</v>
      </c>
      <c r="P46" s="115">
        <f t="shared" si="17"/>
        <v>7343.0020000000004</v>
      </c>
      <c r="Q46" s="115">
        <f t="shared" si="17"/>
        <v>7603.0020000000004</v>
      </c>
      <c r="R46" s="115">
        <f t="shared" si="17"/>
        <v>7863.0020000000004</v>
      </c>
      <c r="S46" s="115">
        <f t="shared" si="17"/>
        <v>7863.0020000000004</v>
      </c>
      <c r="T46" s="115">
        <f t="shared" si="17"/>
        <v>7863.0020000000004</v>
      </c>
      <c r="U46" s="115">
        <f t="shared" si="17"/>
        <v>7863.0020000000004</v>
      </c>
      <c r="V46" s="115">
        <f t="shared" si="17"/>
        <v>7863.0020000000004</v>
      </c>
      <c r="W46" s="225">
        <f t="shared" si="17"/>
        <v>7863.0020000000004</v>
      </c>
      <c r="X46" s="229">
        <f>W46/$W$52</f>
        <v>0.47973669704144134</v>
      </c>
      <c r="Y46" s="223"/>
      <c r="Z46">
        <v>0.11</v>
      </c>
      <c r="AA46">
        <v>7.8E-2</v>
      </c>
      <c r="AE46" t="s">
        <v>384</v>
      </c>
      <c r="AF46">
        <v>0.09</v>
      </c>
      <c r="AG46">
        <v>8.7999999999999995E-2</v>
      </c>
      <c r="AH46">
        <v>8.5999999999999993E-2</v>
      </c>
      <c r="AI46">
        <v>8.5000000000000006E-2</v>
      </c>
      <c r="AJ46">
        <v>0.08</v>
      </c>
      <c r="AK46">
        <v>7.4999999999999997E-2</v>
      </c>
      <c r="AL46">
        <v>7.0000000000000007E-2</v>
      </c>
      <c r="AM46">
        <v>0.06</v>
      </c>
      <c r="AN46">
        <v>0.05</v>
      </c>
      <c r="AO46">
        <v>0.05</v>
      </c>
    </row>
    <row r="47" spans="3:41">
      <c r="C47" s="183" t="s">
        <v>3313</v>
      </c>
      <c r="D47" s="187"/>
      <c r="E47" s="187">
        <v>51</v>
      </c>
      <c r="F47" s="187">
        <v>157</v>
      </c>
      <c r="G47" s="187">
        <v>553</v>
      </c>
      <c r="H47" s="187">
        <f>H16</f>
        <v>808</v>
      </c>
      <c r="I47" s="187">
        <f t="shared" ref="I47:W47" si="18">I16</f>
        <v>1008</v>
      </c>
      <c r="J47" s="187">
        <f t="shared" si="18"/>
        <v>1338</v>
      </c>
      <c r="K47" s="187">
        <f t="shared" si="18"/>
        <v>1668</v>
      </c>
      <c r="L47" s="187">
        <f t="shared" si="18"/>
        <v>1998</v>
      </c>
      <c r="M47" s="187">
        <f t="shared" si="18"/>
        <v>1998</v>
      </c>
      <c r="N47" s="187">
        <f t="shared" si="18"/>
        <v>1998</v>
      </c>
      <c r="O47" s="187">
        <f t="shared" si="18"/>
        <v>1998</v>
      </c>
      <c r="P47" s="187">
        <f t="shared" si="18"/>
        <v>1998</v>
      </c>
      <c r="Q47" s="187">
        <f t="shared" si="18"/>
        <v>1998</v>
      </c>
      <c r="R47" s="187">
        <f t="shared" si="18"/>
        <v>1998</v>
      </c>
      <c r="S47" s="187">
        <f t="shared" si="18"/>
        <v>1998</v>
      </c>
      <c r="T47" s="187">
        <f t="shared" si="18"/>
        <v>1998</v>
      </c>
      <c r="U47" s="187">
        <f t="shared" si="18"/>
        <v>1998</v>
      </c>
      <c r="V47" s="187">
        <f t="shared" si="18"/>
        <v>1998</v>
      </c>
      <c r="W47" s="226">
        <f t="shared" si="18"/>
        <v>1998</v>
      </c>
      <c r="X47" s="229">
        <f t="shared" ref="X47:X51" si="19">W47/$W$52</f>
        <v>0.12190177755122024</v>
      </c>
      <c r="Y47" s="223"/>
      <c r="Z47">
        <v>0.16</v>
      </c>
      <c r="AA47" s="163">
        <v>0.16</v>
      </c>
      <c r="AB47" s="163">
        <v>0.16</v>
      </c>
      <c r="AC47" s="163">
        <v>0.16</v>
      </c>
      <c r="AD47" s="163">
        <v>0.16</v>
      </c>
      <c r="AE47" t="s">
        <v>54</v>
      </c>
      <c r="AF47">
        <v>0.09</v>
      </c>
      <c r="AG47">
        <v>8.8999999999999996E-2</v>
      </c>
      <c r="AH47" s="163">
        <v>8.7999999999999995E-2</v>
      </c>
      <c r="AI47" s="163">
        <v>8.6999999999999994E-2</v>
      </c>
      <c r="AJ47" s="163">
        <v>8.5999999999999993E-2</v>
      </c>
      <c r="AK47" s="163">
        <v>0.08</v>
      </c>
      <c r="AL47" s="163">
        <v>7.9000000000000001E-2</v>
      </c>
      <c r="AM47" s="163">
        <v>7.8E-2</v>
      </c>
      <c r="AN47" s="163">
        <v>7.6999999999999999E-2</v>
      </c>
      <c r="AO47" s="163">
        <v>7.5999999999999998E-2</v>
      </c>
    </row>
    <row r="48" spans="3:41">
      <c r="C48" s="33" t="s">
        <v>54</v>
      </c>
      <c r="D48" s="111"/>
      <c r="E48" s="111">
        <f>465.075-138</f>
        <v>327.07499999999999</v>
      </c>
      <c r="F48" s="111">
        <f>532.845-138</f>
        <v>394.84500000000003</v>
      </c>
      <c r="G48" s="111">
        <v>1031.9349999999999</v>
      </c>
      <c r="H48" s="111">
        <f t="shared" ref="H48:W48" si="20">H17+H38</f>
        <v>1463.7050000000002</v>
      </c>
      <c r="I48" s="111">
        <f t="shared" si="20"/>
        <v>2063.7049999999999</v>
      </c>
      <c r="J48" s="111">
        <f t="shared" si="20"/>
        <v>2713.7049999999999</v>
      </c>
      <c r="K48" s="111">
        <f t="shared" si="20"/>
        <v>2863.7049999999999</v>
      </c>
      <c r="L48" s="111">
        <f t="shared" si="20"/>
        <v>3063.7049999999999</v>
      </c>
      <c r="M48" s="111">
        <f t="shared" si="20"/>
        <v>3293.7049999999999</v>
      </c>
      <c r="N48" s="111">
        <f t="shared" si="20"/>
        <v>3553.7049999999999</v>
      </c>
      <c r="O48" s="111">
        <f t="shared" si="20"/>
        <v>3833.7049999999999</v>
      </c>
      <c r="P48" s="111">
        <f t="shared" si="20"/>
        <v>4123.7049999999999</v>
      </c>
      <c r="Q48" s="111">
        <f t="shared" si="20"/>
        <v>4413.7049999999999</v>
      </c>
      <c r="R48" s="111">
        <f t="shared" si="20"/>
        <v>4703.7049999999999</v>
      </c>
      <c r="S48" s="111">
        <f t="shared" si="20"/>
        <v>4993.7049999999999</v>
      </c>
      <c r="T48" s="111">
        <f t="shared" si="20"/>
        <v>4993.7049999999999</v>
      </c>
      <c r="U48" s="111">
        <f t="shared" si="20"/>
        <v>4993.7049999999999</v>
      </c>
      <c r="V48" s="111">
        <f t="shared" si="20"/>
        <v>4993.7049999999999</v>
      </c>
      <c r="W48" s="227">
        <f t="shared" si="20"/>
        <v>4993.7049999999999</v>
      </c>
      <c r="X48" s="229">
        <f t="shared" si="19"/>
        <v>0.30467543346667481</v>
      </c>
      <c r="Y48" s="223"/>
      <c r="Z48">
        <v>8.8999999999999996E-2</v>
      </c>
      <c r="AA48" s="163">
        <v>8.8999999999999996E-2</v>
      </c>
      <c r="AB48" s="163">
        <v>8.8999999999999996E-2</v>
      </c>
      <c r="AE48" t="s">
        <v>3525</v>
      </c>
      <c r="AF48">
        <v>0.12</v>
      </c>
      <c r="AG48">
        <v>0.11899999999999999</v>
      </c>
      <c r="AH48" s="163">
        <v>0.11799999999999999</v>
      </c>
      <c r="AI48" s="163">
        <v>0.11700000000000001</v>
      </c>
      <c r="AJ48" s="163">
        <v>0.11600000000000001</v>
      </c>
      <c r="AK48" s="163">
        <v>0.115</v>
      </c>
      <c r="AL48" s="163">
        <v>0.114</v>
      </c>
      <c r="AM48" s="163">
        <v>0.113</v>
      </c>
      <c r="AN48" s="163">
        <v>0.112</v>
      </c>
      <c r="AO48" s="163">
        <v>0.111</v>
      </c>
    </row>
    <row r="49" spans="2:58">
      <c r="C49" s="33" t="s">
        <v>118</v>
      </c>
      <c r="D49" s="111"/>
      <c r="E49" s="111">
        <v>38.700000000000003</v>
      </c>
      <c r="F49" s="111">
        <v>51.32</v>
      </c>
      <c r="G49" s="111">
        <v>83.918000000000006</v>
      </c>
      <c r="H49" s="111">
        <f t="shared" ref="H49:W49" si="21">H18+H39</f>
        <v>106.61799999999999</v>
      </c>
      <c r="I49" s="111">
        <f t="shared" si="21"/>
        <v>126.61799999999999</v>
      </c>
      <c r="J49" s="111">
        <f t="shared" si="21"/>
        <v>179.61799999999999</v>
      </c>
      <c r="K49" s="111">
        <f t="shared" si="21"/>
        <v>229.61799999999999</v>
      </c>
      <c r="L49" s="111">
        <f t="shared" si="21"/>
        <v>279.61799999999999</v>
      </c>
      <c r="M49" s="111">
        <f t="shared" si="21"/>
        <v>329.61799999999999</v>
      </c>
      <c r="N49" s="111">
        <f t="shared" si="21"/>
        <v>379.61799999999999</v>
      </c>
      <c r="O49" s="111">
        <f t="shared" si="21"/>
        <v>434.61799999999999</v>
      </c>
      <c r="P49" s="111">
        <f t="shared" si="21"/>
        <v>489.61799999999999</v>
      </c>
      <c r="Q49" s="111">
        <f t="shared" si="21"/>
        <v>549.61799999999994</v>
      </c>
      <c r="R49" s="111">
        <f t="shared" si="21"/>
        <v>609.61799999999994</v>
      </c>
      <c r="S49" s="111">
        <f t="shared" si="21"/>
        <v>669.61799999999994</v>
      </c>
      <c r="T49" s="111">
        <f t="shared" si="21"/>
        <v>669.61799999999994</v>
      </c>
      <c r="U49" s="111">
        <f t="shared" si="21"/>
        <v>669.61799999999994</v>
      </c>
      <c r="V49" s="111">
        <f t="shared" si="21"/>
        <v>669.61799999999994</v>
      </c>
      <c r="W49" s="227">
        <f t="shared" si="21"/>
        <v>669.61799999999994</v>
      </c>
      <c r="X49" s="229">
        <f t="shared" si="19"/>
        <v>4.0854666907053548E-2</v>
      </c>
      <c r="Y49" s="223"/>
      <c r="Z49">
        <v>0.1239</v>
      </c>
      <c r="AA49" s="163">
        <v>0.1239</v>
      </c>
      <c r="AB49" s="163">
        <v>0.1239</v>
      </c>
    </row>
    <row r="50" spans="2:58">
      <c r="C50" s="33" t="s">
        <v>195</v>
      </c>
      <c r="D50" s="111"/>
      <c r="E50" s="111">
        <v>34.429000000000002</v>
      </c>
      <c r="F50" s="111">
        <v>46.225000000000001</v>
      </c>
      <c r="G50" s="111">
        <v>86.102000000000004</v>
      </c>
      <c r="H50" s="111">
        <f t="shared" ref="H50:W50" si="22">H19+H40</f>
        <v>105.83099999999997</v>
      </c>
      <c r="I50" s="111">
        <f t="shared" si="22"/>
        <v>125.83099999999997</v>
      </c>
      <c r="J50" s="111">
        <f t="shared" si="22"/>
        <v>170.83099999999996</v>
      </c>
      <c r="K50" s="111">
        <f t="shared" si="22"/>
        <v>215.83099999999996</v>
      </c>
      <c r="L50" s="111">
        <f t="shared" si="22"/>
        <v>265.83099999999996</v>
      </c>
      <c r="M50" s="111">
        <f t="shared" si="22"/>
        <v>315.83099999999996</v>
      </c>
      <c r="N50" s="111">
        <f t="shared" si="22"/>
        <v>365.83099999999996</v>
      </c>
      <c r="O50" s="111">
        <f t="shared" si="22"/>
        <v>420.83099999999996</v>
      </c>
      <c r="P50" s="111">
        <f t="shared" si="22"/>
        <v>475.83099999999996</v>
      </c>
      <c r="Q50" s="111">
        <f t="shared" si="22"/>
        <v>535.8309999999999</v>
      </c>
      <c r="R50" s="111">
        <f t="shared" si="22"/>
        <v>595.8309999999999</v>
      </c>
      <c r="S50" s="111">
        <f t="shared" si="22"/>
        <v>655.8309999999999</v>
      </c>
      <c r="T50" s="111">
        <f t="shared" si="22"/>
        <v>655.8309999999999</v>
      </c>
      <c r="U50" s="111">
        <f t="shared" si="22"/>
        <v>655.8309999999999</v>
      </c>
      <c r="V50" s="111">
        <f t="shared" si="22"/>
        <v>655.8309999999999</v>
      </c>
      <c r="W50" s="227">
        <f t="shared" si="22"/>
        <v>655.8309999999999</v>
      </c>
      <c r="X50" s="229">
        <f t="shared" si="19"/>
        <v>4.001349583242958E-2</v>
      </c>
      <c r="Y50" s="223"/>
      <c r="Z50" s="163">
        <v>0.1239</v>
      </c>
      <c r="AA50" s="163">
        <v>0.1239</v>
      </c>
      <c r="AB50" s="163">
        <v>0.1239</v>
      </c>
    </row>
    <row r="51" spans="2:58" ht="13.5" thickBot="1">
      <c r="C51" s="33" t="s">
        <v>2715</v>
      </c>
      <c r="D51" s="33"/>
      <c r="E51" s="33">
        <v>94.614999999999995</v>
      </c>
      <c r="F51" s="33">
        <v>98.753</v>
      </c>
      <c r="G51" s="235">
        <v>113.99299999999999</v>
      </c>
      <c r="H51" s="111">
        <f t="shared" ref="H51:W51" si="23">H20+H41</f>
        <v>120.089</v>
      </c>
      <c r="I51" s="111">
        <f t="shared" si="23"/>
        <v>125.089</v>
      </c>
      <c r="J51" s="111">
        <f t="shared" si="23"/>
        <v>135.089</v>
      </c>
      <c r="K51" s="111">
        <f t="shared" si="23"/>
        <v>140.089</v>
      </c>
      <c r="L51" s="111">
        <f t="shared" si="23"/>
        <v>145.089</v>
      </c>
      <c r="M51" s="111">
        <f t="shared" si="23"/>
        <v>150.089</v>
      </c>
      <c r="N51" s="111">
        <f t="shared" si="23"/>
        <v>160.089</v>
      </c>
      <c r="O51" s="111">
        <f t="shared" si="23"/>
        <v>170.089</v>
      </c>
      <c r="P51" s="111">
        <f t="shared" si="23"/>
        <v>180.089</v>
      </c>
      <c r="Q51" s="111">
        <f t="shared" si="23"/>
        <v>190.089</v>
      </c>
      <c r="R51" s="111">
        <f t="shared" si="23"/>
        <v>200.089</v>
      </c>
      <c r="S51" s="111">
        <f t="shared" si="23"/>
        <v>210.089</v>
      </c>
      <c r="T51" s="111">
        <f t="shared" si="23"/>
        <v>210.089</v>
      </c>
      <c r="U51" s="111">
        <f t="shared" si="23"/>
        <v>210.089</v>
      </c>
      <c r="V51" s="111">
        <f t="shared" si="23"/>
        <v>210.089</v>
      </c>
      <c r="W51" s="227">
        <f t="shared" si="23"/>
        <v>210.089</v>
      </c>
      <c r="X51" s="230">
        <f t="shared" si="19"/>
        <v>1.2817929201180333E-2</v>
      </c>
      <c r="Y51" s="223"/>
      <c r="Z51" s="163">
        <v>0.1239</v>
      </c>
      <c r="AA51" s="163">
        <v>0.1239</v>
      </c>
      <c r="AB51" s="163">
        <v>0.1239</v>
      </c>
    </row>
    <row r="52" spans="2:58">
      <c r="C52" s="166" t="s">
        <v>3241</v>
      </c>
      <c r="D52" s="70"/>
      <c r="E52" s="113">
        <f t="shared" ref="E52:G52" si="24">SUM(E46:E51)</f>
        <v>1287.7120000000002</v>
      </c>
      <c r="F52" s="113">
        <f t="shared" si="24"/>
        <v>2136.4189999999999</v>
      </c>
      <c r="G52" s="113">
        <f t="shared" si="24"/>
        <v>6793.558</v>
      </c>
      <c r="H52" s="113">
        <f t="shared" ref="H52:W52" si="25">SUM(H46:H51)</f>
        <v>8697.2450000000008</v>
      </c>
      <c r="I52" s="113">
        <f t="shared" si="25"/>
        <v>9622.2450000000008</v>
      </c>
      <c r="J52" s="113">
        <f t="shared" si="25"/>
        <v>10825.245000000001</v>
      </c>
      <c r="K52" s="113">
        <f t="shared" si="25"/>
        <v>11520.245000000001</v>
      </c>
      <c r="L52" s="113">
        <f t="shared" si="25"/>
        <v>12265.245000000001</v>
      </c>
      <c r="M52" s="113">
        <f t="shared" si="25"/>
        <v>12740.245000000001</v>
      </c>
      <c r="N52" s="113">
        <f t="shared" si="25"/>
        <v>13280.245000000001</v>
      </c>
      <c r="O52" s="113">
        <f t="shared" si="25"/>
        <v>13940.245000000001</v>
      </c>
      <c r="P52" s="113">
        <f t="shared" si="25"/>
        <v>14610.245000000001</v>
      </c>
      <c r="Q52" s="113">
        <f t="shared" si="25"/>
        <v>15290.245000000001</v>
      </c>
      <c r="R52" s="113">
        <f t="shared" si="25"/>
        <v>15970.245000000001</v>
      </c>
      <c r="S52" s="113">
        <f t="shared" si="25"/>
        <v>16390.245000000003</v>
      </c>
      <c r="T52" s="113">
        <f t="shared" si="25"/>
        <v>16390.245000000003</v>
      </c>
      <c r="U52" s="113">
        <f t="shared" si="25"/>
        <v>16390.245000000003</v>
      </c>
      <c r="V52" s="113">
        <f t="shared" si="25"/>
        <v>16390.245000000003</v>
      </c>
      <c r="W52" s="113">
        <f t="shared" si="25"/>
        <v>16390.245000000003</v>
      </c>
    </row>
    <row r="53" spans="2:58" ht="6" customHeight="1">
      <c r="C53" s="105"/>
    </row>
    <row r="54" spans="2:58" ht="20.25">
      <c r="C54" s="272" t="s">
        <v>3493</v>
      </c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Z54" t="s">
        <v>3523</v>
      </c>
      <c r="AA54" s="267" t="s">
        <v>3527</v>
      </c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</row>
    <row r="55" spans="2:58" ht="15.75" thickBot="1">
      <c r="B55" t="s">
        <v>3311</v>
      </c>
      <c r="C55" s="175" t="s">
        <v>2</v>
      </c>
      <c r="D55" s="175"/>
      <c r="E55" s="175">
        <v>2017</v>
      </c>
      <c r="F55" s="175">
        <v>2018</v>
      </c>
      <c r="G55" s="175">
        <v>2019</v>
      </c>
      <c r="H55" s="175">
        <v>2020</v>
      </c>
      <c r="I55" s="175">
        <v>2021</v>
      </c>
      <c r="J55" s="175">
        <v>2022</v>
      </c>
      <c r="K55" s="175">
        <v>2023</v>
      </c>
      <c r="L55" s="175">
        <v>2024</v>
      </c>
      <c r="M55" s="175">
        <v>2025</v>
      </c>
      <c r="N55" s="175">
        <v>2026</v>
      </c>
      <c r="O55" s="175">
        <v>2027</v>
      </c>
      <c r="P55" s="175">
        <v>2028</v>
      </c>
      <c r="Q55" s="175">
        <v>2029</v>
      </c>
      <c r="R55" s="175">
        <v>2030</v>
      </c>
      <c r="S55" s="175">
        <v>2031</v>
      </c>
      <c r="T55" s="175">
        <v>2032</v>
      </c>
      <c r="U55" s="175">
        <v>2033</v>
      </c>
      <c r="V55" s="175">
        <v>2034</v>
      </c>
      <c r="W55" s="175">
        <v>2035</v>
      </c>
      <c r="Z55" s="236" t="s">
        <v>2</v>
      </c>
      <c r="AA55" s="240">
        <v>2021</v>
      </c>
      <c r="AB55" s="240">
        <v>2022</v>
      </c>
      <c r="AC55" s="240">
        <v>2023</v>
      </c>
      <c r="AD55" s="240">
        <v>2024</v>
      </c>
      <c r="AE55" s="240">
        <v>2025</v>
      </c>
      <c r="AF55" s="240">
        <v>2026</v>
      </c>
      <c r="AG55" s="240">
        <v>2027</v>
      </c>
      <c r="AH55" s="240">
        <v>2028</v>
      </c>
      <c r="AI55" s="240">
        <v>2029</v>
      </c>
      <c r="AJ55" s="240">
        <v>2030</v>
      </c>
      <c r="AK55" s="240">
        <v>2031</v>
      </c>
      <c r="AL55" s="240">
        <v>2032</v>
      </c>
      <c r="AM55" s="240">
        <v>2033</v>
      </c>
      <c r="AN55" s="240">
        <v>2034</v>
      </c>
      <c r="AO55" s="240">
        <v>2035</v>
      </c>
      <c r="AP55" s="240" t="s">
        <v>3241</v>
      </c>
    </row>
    <row r="56" spans="2:58" ht="15.75" thickBot="1">
      <c r="B56" s="195">
        <v>0.13700000000000001</v>
      </c>
      <c r="C56" s="82" t="s">
        <v>384</v>
      </c>
      <c r="D56" s="71"/>
      <c r="E56" s="71">
        <v>714.71</v>
      </c>
      <c r="F56" s="71">
        <v>1101.164</v>
      </c>
      <c r="G56" s="246">
        <v>2932.37</v>
      </c>
      <c r="H56" s="182">
        <f>SUMIF(Таб[Тип],ПРОГНОЗ!$C56,Таб[Всього])/1000*(1-$J$2)^(H55-$H$55)*0.9+
                            ($H$5*$B$56*365*24)/1000*(1-$J$2)^(H55-$H$55)/2</f>
        <v>6413.083404216005</v>
      </c>
      <c r="I56" s="168">
        <f>SUMIF(Таб[Тип],ПРОГНОЗ!$C56,Таб[Всього])/1000*(1-$J$2)^(I55-$H$55)+
                            ($H$5*$B$56*365*24)/1000*(1-$J$2)^(I55-$H$55)+
                               ($I$5*$B$56*365*24)/1000*(1-$J$2)^(I55-$I$55)/2</f>
        <v>7286.4613588785651</v>
      </c>
      <c r="J56" s="168">
        <f>SUMIF(Таб[Тип],ПРОГНОЗ!$C56,Таб[Всього])/1000*(1-$J$2)^(J55-$H$55)+
                            ($H$5*$B$56*365*24)/1000*(1-$J$2)^(J55-$H$55)+
                               ($I$5*$B$56*365*24)/1000*(1-$J$2)^(J55-$I$55)+
                                   ($J$5*$B$56*365*24)/1000*(1-$J$2)^(J55-$J$55)/2</f>
        <v>7266.6369799252943</v>
      </c>
      <c r="K56" s="168">
        <f>SUMIF(Таб[Тип],ПРОГНОЗ!$C56,Таб[Всього])/1000*(1-$J$2)^(K55-$H$55)+
                            ($H$5*$B$56*365*24)/1000*(1-$J$2)^(K55-$H$55)+
                               ($I$5*$B$56*365*24)/1000*(1-$J$2)^(K55-$I$55)+
                                   ($J$5*$B$56*365*24)/1000*(1-$J$2)^(K55-$J$55)+
                                      ($K$5*$B$56*365*24)/1000*(1-$J$2)^(K55-$K$55)/2</f>
        <v>7232.002054445742</v>
      </c>
      <c r="L56" s="168">
        <f>SUMIF(Таб[Тип],ПРОГНОЗ!$C56,Таб[Всього])/1000*(1-$J$2)^(L55-$H$55)+
                            ($H$5*$B$56*365*24)/1000*(1-$J$2)^(L55-$H$55)+
                               ($I$5*$B$56*365*24)/1000*(1-$J$2)^(L55-$I$55)+
                                   ($J$5*$B$56*365*24)/1000*(1-$J$2)^(L55-$J$55)+
                                      ($K$5*$B$56*365*24)/1000*(1-$J$2)^(L55-$K$55)</f>
        <v>7191.5923403190682</v>
      </c>
      <c r="M56" s="168">
        <f>SUMIF(Таб[Тип],ПРОГНОЗ!$C56,Таб[Всього])/1000*(1-$J$2)^(M55-$H$55)+
                            ($H$5*$B$56*365*24)/1000*(1-$J$2)^(M55-$H$55)+
                               ($I$5*$B$56*365*24)/1000*(1-$J$2)^(M55-$I$55)+
                                   ($J$5*$B$56*365*24)/1000*(1-$J$2)^(M55-$J$55)+
                                      ($K$5*$B$56*365*24)/1000*(1-$J$2)^(M55-$K$55)</f>
        <v>7148.4427862771545</v>
      </c>
      <c r="N56" s="168">
        <f>SUMIF(Таб[Тип],ПРОГНОЗ!$C56,Таб[Всього])/1000*(1-$J$2)^(N55-$H$55)+
                            ($H$5*$B$56*365*24)/1000*(1-$J$2)^(N55-$H$55)+
                               ($I$5*$B$56*365*24)/1000*(1-$J$2)^(N55-$I$55)+
                                   ($J$5*$B$56*365*24)/1000*(1-$J$2)^(N55-$J$55)+
                                      ($K$5*$B$56*365*24)/1000*(1-$J$2)^(N55-$K$55)</f>
        <v>7105.5521295594908</v>
      </c>
      <c r="O56" s="168">
        <f>SUMIF(Таб[Тип],ПРОГНОЗ!$C56,Таб[Всього])/1000*(1-$J$2)^(O55-$H$55)+
                            ($H$5*$B$56*365*24)/1000*(1-$J$2)^(O55-$H$55)+
                               ($I$5*$B$56*365*24)/1000*(1-$J$2)^(O55-$I$55)+
                                   ($J$5*$B$56*365*24)/1000*(1-$J$2)^(O55-$J$55)+
                                      ($K$5*$B$56*365*24)/1000*(1-$J$2)^(O55-$K$55)</f>
        <v>7062.918816782133</v>
      </c>
      <c r="P56" s="168">
        <f>SUMIF(Таб[Тип],ПРОГНОЗ!$C56,Таб[Всього])/1000*(1-$J$2)^(P55-$H$55)+
                            ($H$5*$B$56*365*24)/1000*(1-$J$2)^(P55-$H$55)+
                               ($I$5*$B$56*365*24)/1000*(1-$J$2)^(P55-$I$55)+
                                   ($J$5*$B$56*365*24)/1000*(1-$J$2)^(P55-$J$55)+
                                      ($K$5*$B$56*365*24)/1000*(1-$J$2)^(P55-$K$55)</f>
        <v>7020.5413038814422</v>
      </c>
      <c r="Q56" s="168">
        <f>SUMIF(Таб[Тип],ПРОГНОЗ!$C56,Таб[Всього])/1000*(1-$J$2)^(Q55-$H$55)+
                            ($H$5*$B$56*365*24)/1000*(1-$J$2)^(Q55-$H$55)+
                               ($I$5*$B$56*365*24)/1000*(1-$J$2)^(Q55-$I$55)+
                                   ($J$5*$B$56*365*24)/1000*(1-$J$2)^(Q55-$J$55)+
                                      ($K$5*$B$56*365*24)/1000*(1-$J$2)^(Q55-$K$55)</f>
        <v>6978.4180560581526</v>
      </c>
      <c r="R56" s="168">
        <f>SUMIF(Таб[Тип],ПРОГНОЗ!$C56,Таб[Всього])/1000*(1-$J$2)^(R55-$H$55)+
                            ($H$5*$B$56*365*24)/1000*(1-$J$2)^(R55-$H$55)+
                               ($I$5*$B$56*365*24)/1000*(1-$J$2)^(R55-$I$55)+
                                   ($J$5*$B$56*365*24)/1000*(1-$J$2)^(R55-$J$55)+
                                      ($K$5*$B$56*365*24)/1000*(1-$J$2)^(R55-$K$55)</f>
        <v>6936.5475477218042</v>
      </c>
      <c r="S56" s="168">
        <f>SUMIF(Таб[Тип],ПРОГНОЗ!$C56,Таб[Всього])/1000*(1-$J$2)^(S55-$H$55)+
                            ($H$5*$B$56*365*24)/1000*(1-$J$2)^(S55-$H$55)+
                               ($I$5*$B$56*365*24)/1000*(1-$J$2)^(S55-$I$55)+
                                   ($J$5*$B$56*365*24)/1000*(1-$J$2)^(S55-$J$55)+
                                      ($K$5*$B$56*365*24)/1000*(1-$J$2)^(S55-$K$55)</f>
        <v>6894.9282624354737</v>
      </c>
      <c r="T56" s="168">
        <f>SUMIF(Таб[Тип],ПРОГНОЗ!$C56,Таб[Всього])/1000*(1-$J$2)^(T55-$H$55)+
                            ($H$5*$B$56*365*24)/1000*(1-$J$2)^(T55-$H$55)+
                               ($I$5*$B$56*365*24)/1000*(1-$J$2)^(T55-$I$55)+
                                   ($J$5*$B$56*365*24)/1000*(1-$J$2)^(T55-$J$55)+
                                      ($K$5*$B$56*365*24)/1000*(1-$J$2)^(T55-$K$55)</f>
        <v>6853.5586928608609</v>
      </c>
      <c r="U56" s="168">
        <f>SUMIF(Таб[Тип],ПРОГНОЗ!$C56,Таб[Всього])/1000*(1-$J$2)^(U55-$H$55)+
                            ($H$5*$B$56*365*24)/1000*(1-$J$2)^(U55-$H$55)+
                               ($I$5*$B$56*365*24)/1000*(1-$J$2)^(U55-$I$55)+
                                   ($J$5*$B$56*365*24)/1000*(1-$J$2)^(U55-$J$55)+
                                      ($K$5*$B$56*365*24)/1000*(1-$J$2)^(U55-$K$55)</f>
        <v>6812.4373407036956</v>
      </c>
      <c r="V56" s="168">
        <f>SUMIF(Таб[Тип],ПРОГНОЗ!$C56,Таб[Всього])/1000*(1-$J$2)^(V55-$H$55)+
                            ($H$5*$B$56*365*24)/1000*(1-$J$2)^(V55-$H$55)+
                               ($I$5*$B$56*365*24)/1000*(1-$J$2)^(V55-$I$55)+
                                   ($J$5*$B$56*365*24)/1000*(1-$J$2)^(V55-$J$55)+
                                      ($K$5*$B$56*365*24)/1000*(1-$J$2)^(V55-$K$55)</f>
        <v>6771.5627166594741</v>
      </c>
      <c r="W56" s="168">
        <f>SUMIF(Таб[Тип],ПРОГНОЗ!$C56,Таб[Всього])/1000*(1-$J$2)^(W55-$H$55)+
                            ($H$5*$B$56*365*24)/1000*(1-$J$2)^(W55-$H$55)+
                               ($I$5*$B$56*365*24)/1000*(1-$J$2)^(W55-$I$55)+
                                   ($J$5*$B$56*365*24)/1000*(1-$J$2)^(W55-$J$55)+
                                      ($K$5*$B$56*365*24)/1000*(1-$J$2)^(W55-$K$55)</f>
        <v>6730.9333403595174</v>
      </c>
      <c r="Y56" s="231" t="e">
        <f>SUMPRODUCT(Реєстр!#REF!,Реєстр!BP148:BP1200)/SUM(Реєстр!BP148:BP1200)</f>
        <v>#REF!</v>
      </c>
      <c r="Z56" s="33" t="s">
        <v>3526</v>
      </c>
      <c r="AA56" s="241" t="e">
        <f>SUMIF(Таб[Тип],ПРОГНОЗ!$C56,Таб[Всього])/1000*(1-$J$2)^(I55-$H$55)*(Y56-AB44)+
                            ($H$5*$B$56*365*24)/1000*(1-$J$2)^(I55-$H$55)*(Z46-AB44)+
                               ($I$5*$B$56*365*24)/1000*(1-$J$2)^(I55-$I$55)/2*(AA46-AB44)</f>
        <v>#REF!</v>
      </c>
      <c r="AB56" s="241" t="e">
        <f>SUMIF(Таб[Тип],ПРОГНОЗ!$C56,Таб[Всього])/1000*(1-$J$2)^(J55-$H$55)*(Y56-AB44)+
                            ($H$5*$B$56*365*24)/1000*(1-$J$2)^(J55-$H$55)*(Z46-AB44)+
                               ($I$5*$B$56*365*24)/1000*(1-$J$2)^(J55-$I$55)*(AA46-AB44)+
                                   ($J$5*$B$56*365*24)/1000*(1-$J$2)^(J55-$J$55)/2*(Z46-AB44)</f>
        <v>#REF!</v>
      </c>
      <c r="AC56" s="241" t="e">
        <f>SUMIF(Таб[Тип],ПРОГНОЗ!$C56,Таб[Всього])/1000*(1-$J$2)^(K55-$H$55)*(Y56-AB44)+
                            ($H$5*$B$56*365*24)/1000*(1-$J$2)^(K55-$H$55)*(Z46-AB44)+
                               ($I$5*$B$56*365*24)/1000*(1-$J$2)^(K55-$I$55)*(AA46-AB44)+
                                   ($J$5*$B$56*365*24)/1000*(1-$J$2)^(K55-$J$55)*(Z46-AB44)+
                                      ($K$5*$B$56*365*24)/1000*(1-$J$2)^(K55-$K$55)/2*(Z46-AB44)</f>
        <v>#REF!</v>
      </c>
      <c r="AD56" s="241" t="e">
        <f>SUMIF(Таб[Тип],ПРОГНОЗ!$C56,Таб[Всього])/1000*(1-$J$2)^(L55-$H$55)*($Y$56-$AB$44)+
                            ($H$5*$B$56*365*24)/1000*(1-$J$2)^(L55-$H$55)*($Z$46-$AB$44)+
                               ($I$5*$B$56*365*24)/1000*(1-$J$2)^(L55-$I$55)*($AA$46-$AB$44)+
                                   ($J$5*$B$56*365*24)/1000*(1-$J$2)^(L55-$J$55)*($Z$46-$AB$44)+
                                      ($K$5*$B$56*365*24)/1000*(1-$J$2)^(L55-$K$55)/2*($Z$46-$AB$44)</f>
        <v>#REF!</v>
      </c>
      <c r="AE56" s="241" t="e">
        <f>SUMIF(Таб[Тип],ПРОГНОЗ!$C56,Таб[Всього])/1000*(1-$J$2)^(M55-$H$55)*($Y$56-$AB$44)+
                            ($H$5*$B$56*365*24)/1000*(1-$J$2)^(M55-$H$55)*($Z$46-$AB$44)+
                               ($I$5*$B$56*365*24)/1000*(1-$J$2)^(M55-$I$55)*($AA$46-$AB$44)+
                                   ($J$5*$B$56*365*24)/1000*(1-$J$2)^(M55-$J$55)*($Z$46-$AB$44)+
                                      ($K$5*$B$56*365*24)/1000*(1-$J$2)^(M55-$K$55)/2*($Z$46-$AB$44)</f>
        <v>#REF!</v>
      </c>
      <c r="AF56" s="241" t="e">
        <f>SUMIF(Таб[Тип],ПРОГНОЗ!$C56,Таб[Всього])/1000*(1-$J$2)^(N55-$H$55)*($Y$56-$AB$44)+
                            ($H$5*$B$56*365*24)/1000*(1-$J$2)^(N55-$H$55)*($Z$46-$AB$44)+
                               ($I$5*$B$56*365*24)/1000*(1-$J$2)^(N55-$I$55)*($AA$46-$AB$44)+
                                   ($J$5*$B$56*365*24)/1000*(1-$J$2)^(N55-$J$55)*($Z$46-$AB$44)+
                                      ($K$5*$B$56*365*24)/1000*(1-$J$2)^(N55-$K$55)/2*($Z$46-$AB$44)</f>
        <v>#REF!</v>
      </c>
      <c r="AG56" s="241" t="e">
        <f>SUMIF(Таб[Тип],ПРОГНОЗ!$C56,Таб[Всього])/1000*(1-$J$2)^(O55-$H$55)*($Y$56-$AB$44)+
                            ($H$5*$B$56*365*24)/1000*(1-$J$2)^(O55-$H$55)*($Z$46-$AB$44)+
                               ($I$5*$B$56*365*24)/1000*(1-$J$2)^(O55-$I$55)*($AA$46-$AB$44)+
                                   ($J$5*$B$56*365*24)/1000*(1-$J$2)^(O55-$J$55)*($Z$46-$AB$44)+
                                      ($K$5*$B$56*365*24)/1000*(1-$J$2)^(O55-$K$55)/2*($Z$46-$AB$44)</f>
        <v>#REF!</v>
      </c>
      <c r="AH56" s="241" t="e">
        <f>SUMIF(Таб[Тип],ПРОГНОЗ!$C56,Таб[Всього])/1000*(1-$J$2)^(P55-$H$55)*($Y$56-$AB$44)+
                            ($H$5*$B$56*365*24)/1000*(1-$J$2)^(P55-$H$55)*($Z$46-$AB$44)+
                               ($I$5*$B$56*365*24)/1000*(1-$J$2)^(P55-$I$55)*($AA$46-$AB$44)+
                                   ($J$5*$B$56*365*24)/1000*(1-$J$2)^(P55-$J$55)*($Z$46-$AB$44)+
                                      ($K$5*$B$56*365*24)/1000*(1-$J$2)^(P55-$K$55)/2*($Z$46-$AB$44)</f>
        <v>#REF!</v>
      </c>
      <c r="AI56" s="241" t="e">
        <f>SUMIF(Таб[Тип],ПРОГНОЗ!$C56,Таб[Всього])/1000*(1-$J$2)^(Q55-$H$55)*($Y$56-$AB$44)+
                            ($H$5*$B$56*365*24)/1000*(1-$J$2)^(Q55-$H$55)*($Z$46-$AB$44)+
                               ($I$5*$B$56*365*24)/1000*(1-$J$2)^(Q55-$I$55)*($AA$46-$AB$44)+
                                   ($J$5*$B$56*365*24)/1000*(1-$J$2)^(Q55-$J$55)*($Z$46-$AB$44)+
                                      ($K$5*$B$56*365*24)/1000*(1-$J$2)^(Q55-$K$55)/2*($Z$46-$AB$44)</f>
        <v>#REF!</v>
      </c>
      <c r="AJ56" s="241"/>
      <c r="AK56" s="241"/>
      <c r="AL56" s="241"/>
      <c r="AM56" s="241"/>
      <c r="AN56" s="241"/>
      <c r="AO56" s="241"/>
      <c r="AP56" s="242" t="e">
        <f>SUM(AA56:AO56)</f>
        <v>#REF!</v>
      </c>
    </row>
    <row r="57" spans="2:58" ht="15.75" thickBot="1">
      <c r="B57" s="107">
        <v>7.0000000000000007E-2</v>
      </c>
      <c r="C57" s="183" t="s">
        <v>3313</v>
      </c>
      <c r="D57" s="183"/>
      <c r="E57" s="183"/>
      <c r="F57" s="183"/>
      <c r="G57" s="247"/>
      <c r="H57" s="184">
        <f>(H16*$B$57*365*24/1000)*(1-$J$2)^(H55-$H$55)</f>
        <v>495.46560000000005</v>
      </c>
      <c r="I57" s="184">
        <f>($H$16*$B$57*365*24/1000)*(1-$J$2)^(I55-$H$55)+
             ($I$6*$B$57*365*24/1000*(1-$J$2)^(I55-$I$55))/2</f>
        <v>553.81280640000011</v>
      </c>
      <c r="J57" s="184">
        <f>($H$16*$B$57*365*24/1000)*(1-$J$2)^(J55-$H$55)+
             ($I$6*$B$57*365*24/1000*(1-$J$2)^(J55-$I$55))+
                        ($J$6*$B$57*365*24/1000*(1-$J$2)^(J55-$J$55))/2</f>
        <v>712.62000956160011</v>
      </c>
      <c r="K57" s="184">
        <f>($H$16*$B$57*365*24/1000)*(1-$J$2)^(K55-$H$55)+
             ($I$6*$B$57*365*24/1000*(1-$J$2)^(K55-$I$55))+
                        ($J$6*$B$57*365*24/1000*(1-$J$2)^(K55-$J$55))+
                                ($K$6*$B$57*365*24/1000*(1-$J$2)^(K55-$K$55))/2</f>
        <v>910.09322150423043</v>
      </c>
      <c r="L57" s="184">
        <f>($H$16*$B$57*365*24/1000)*(1-$J$2)^(L55-$H$55)+
             ($I$6*$B$57*365*24/1000*(1-$J$2)^(L55-$I$55))+
                        ($J$6*$B$57*365*24/1000*(1-$J$2)^(L55-$J$55))+
                                ($K$6*$B$57*365*24/1000*(1-$J$2)^(L55-$K$55))+
                                    ($L$6*$B$57*365*24/1000*(1-$J$2)^(L55-$L$55))/2</f>
        <v>1106.381594175205</v>
      </c>
      <c r="M57" s="184">
        <f t="shared" ref="M57:W57" si="26">($H$16*$B$57*365*24/1000)*(1-$J$2)^(M55-$H$55)+
             ($I$6*$B$57*365*24/1000*(1-$J$2)^(M55-$I$55))+
                        ($J$6*$B$57*365*24/1000*(1-$J$2)^(M55-$J$55))+
                                ($K$6*$B$57*365*24/1000*(1-$J$2)^(M55-$K$55))+
                                    ($L$6*$B$57*365*24/1000*(1-$J$2)^(M55-$L$55))</f>
        <v>1200.314236610154</v>
      </c>
      <c r="N57" s="184">
        <f t="shared" si="26"/>
        <v>1193.112351190493</v>
      </c>
      <c r="O57" s="184">
        <f t="shared" si="26"/>
        <v>1185.9536770833502</v>
      </c>
      <c r="P57" s="184">
        <f t="shared" si="26"/>
        <v>1178.8379550208499</v>
      </c>
      <c r="Q57" s="184">
        <f t="shared" si="26"/>
        <v>1171.7649272907249</v>
      </c>
      <c r="R57" s="184">
        <f t="shared" si="26"/>
        <v>1164.7343377269806</v>
      </c>
      <c r="S57" s="184">
        <f t="shared" si="26"/>
        <v>1157.7459317006187</v>
      </c>
      <c r="T57" s="184">
        <f t="shared" si="26"/>
        <v>1150.7994561104151</v>
      </c>
      <c r="U57" s="184">
        <f t="shared" si="26"/>
        <v>1143.8946593737526</v>
      </c>
      <c r="V57" s="184">
        <f t="shared" si="26"/>
        <v>1137.0312914175099</v>
      </c>
      <c r="W57" s="184">
        <f t="shared" si="26"/>
        <v>1130.2091036690049</v>
      </c>
      <c r="Y57" s="232">
        <v>0.17</v>
      </c>
      <c r="Z57" t="s">
        <v>3313</v>
      </c>
      <c r="AA57" s="243">
        <f>($H$16*$B$57*365*24/1000)*(1-$J$2)^(I55-$H$55)*(Y57-$AB$44)+
             ($I$6*$B$57*365*24/1000*(1-$J$2)^(I55-$I$55))/2*(AA47-AB44)</f>
        <v>65.844336768000019</v>
      </c>
      <c r="AB57" s="243">
        <f>($H$16*$B$57*365*24/1000)*(1-$J$2)^(J55-$H$55)*(Y57-AB44)+
             ($I$6*$B$57*365*24/1000*(1-$J$2)^(J55-$I$55))*(AA47-AB44)+
                        ($J$6*$B$57*365*24/1000*(1-$J$2)^(J55-$J$55))/2*(AA47-AB44)</f>
        <v>83.283579547392023</v>
      </c>
      <c r="AC57" s="243">
        <f>($H$16*$B$57*365*24/1000)*(1-$J$2)^(K55-$H$55)*(Y57-AB44)+
             ($I$6*$B$57*365*24/1000*(1-$J$2)^(K55-$I$55))*(AA47-AB44)+
                        ($J$6*$B$57*365*24/1000*(1-$J$2)^(K55-$J$55))*(AA47-AB44)+
                                ($K$6*$B$57*365*24/1000*(1-$J$2)^(K55-$K$55))/2*(AA47-AB44)</f>
        <v>104.97626059010767</v>
      </c>
      <c r="AD57" s="243">
        <f>($H$16*$B$57*365*24/1000)*(1-$J$2)^(L55-$H$55)*(Y57-AB44)+
             ($I$6*$B$57*365*24/1000*(1-$J$2)^(L55-$I$55))*(AA47-AB44)+
                        ($J$6*$B$57*365*24/1000*(1-$J$2)^(L55-$J$55))*(AA47-AB44)+
                                ($K$6*$B$57*365*24/1000*(1-$J$2)^(L55-$K$55))*(AA47-AB44)+
                                    ($L$6*$B$57*365*24/1000*(1-$J$2)^(L55-$L$55))/2*(AA47-AB44)</f>
        <v>126.53878554656701</v>
      </c>
      <c r="AE57" s="243">
        <f>($H$16*$B$57*365*24/1000)*(1-$J$2)^(L55-$H$55)*($Y$57-$AB$44)+
             ($I$6*$B$57*365*24/1000*(1-$J$2)^(L55-$I$55))*($AA$47-$AB$44)+
                        ($J$6*$B$57*365*24/1000*(1-$J$2)^(L55-$J$55))*($AA$47-$AB$44)+
                                ($K$6*$B$57*365*24/1000*(1-$J$2)^(L55-$K$55))*($AA$47-$AB$44)+
                                    ($L$6*$B$57*365*24/1000*(1-$J$2)^(L55-$L$55))*($AA$47-$AB$44)</f>
        <v>137.668365546567</v>
      </c>
      <c r="AF57" s="243">
        <f>($H$16*$B$57*365*24/1000)*(1-$J$2)^(M55-$H$55)*($Y$57-$AB$44)+
             ($I$6*$B$57*365*24/1000*(1-$J$2)^(M55-$I$55))*($AA$47-$AB$44)+
                        ($J$6*$B$57*365*24/1000*(1-$J$2)^(M55-$J$55))*($AA$47-$AB$44)+
                                ($K$6*$B$57*365*24/1000*(1-$J$2)^(M55-$K$55))*($AA$47-$AB$44)+
                                    ($L$6*$B$57*365*24/1000*(1-$J$2)^(M55-$L$55))*($AA$47-$AB$44)</f>
        <v>136.84235535328764</v>
      </c>
      <c r="AG57" s="243">
        <f>($H$16*$B$57*365*24/1000)*(1-$J$2)^(N55-$H$55)*($Y$57-$AB$44)+
             ($I$6*$B$57*365*24/1000*(1-$J$2)^(N55-$I$55))*($AA$47-$AB$44)+
                        ($J$6*$B$57*365*24/1000*(1-$J$2)^(N55-$J$55))*($AA$47-$AB$44)+
                                ($K$6*$B$57*365*24/1000*(1-$J$2)^(N55-$K$55))*($AA$47-$AB$44)+
                                    ($L$6*$B$57*365*24/1000*(1-$J$2)^(N55-$L$55))*($AA$47-$AB$44)</f>
        <v>136.0213012211679</v>
      </c>
      <c r="AH57" s="243">
        <f>($H$16*$B$57*365*24/1000)*(1-$J$2)^(O55-$H$55)*($Y$57-$AB$44)+
             ($I$6*$B$57*365*24/1000*(1-$J$2)^(O55-$I$55))*($AA$47-$AB$44)+
                        ($J$6*$B$57*365*24/1000*(1-$J$2)^(O55-$J$55))*($AA$47-$AB$44)+
                                ($K$6*$B$57*365*24/1000*(1-$J$2)^(O55-$K$55))*($AA$47-$AB$44)+
                                    ($L$6*$B$57*365*24/1000*(1-$J$2)^(O55-$L$55))*($AA$47-$AB$44)</f>
        <v>135.2051734138409</v>
      </c>
      <c r="AI57" s="243">
        <f>($H$16*$B$57*365*24/1000)*(1-$J$2)^(P55-$H$55)*($Y$57-$AB$44)+
             ($I$6*$B$57*365*24/1000*(1-$J$2)^(P55-$I$55))*($AA$47-$AB$44)+
                        ($J$6*$B$57*365*24/1000*(1-$J$2)^(P55-$J$55))*($AA$47-$AB$44)+
                                ($K$6*$B$57*365*24/1000*(1-$J$2)^(P55-$K$55))*($AA$47-$AB$44)+
                                    ($L$6*$B$57*365*24/1000*(1-$J$2)^(P55-$L$55))*($AA$47-$AB$44)</f>
        <v>134.39394237335785</v>
      </c>
      <c r="AJ57" s="243"/>
      <c r="AK57" s="243"/>
      <c r="AL57" s="243"/>
      <c r="AM57" s="243"/>
      <c r="AN57" s="243"/>
      <c r="AO57" s="243"/>
      <c r="AP57" s="239">
        <f t="shared" ref="AP57:AP62" si="27">SUM(AA57:AO57)</f>
        <v>1060.7741003602878</v>
      </c>
    </row>
    <row r="58" spans="2:58" ht="15.75" thickBot="1">
      <c r="B58" s="195">
        <v>0.37</v>
      </c>
      <c r="C58" s="80" t="s">
        <v>54</v>
      </c>
      <c r="D58" s="33"/>
      <c r="E58" s="33">
        <v>973.54600000000005</v>
      </c>
      <c r="F58" s="111">
        <v>1181.077</v>
      </c>
      <c r="G58" s="235">
        <v>2021.664</v>
      </c>
      <c r="H58" s="169">
        <f>SUMIF(Таб[Тип],ПРОГНОЗ!$C58,Таб[Всього])/1000
             +$H$7*$B$58*365*24/1000/2</f>
        <v>4240.9372673327307</v>
      </c>
      <c r="I58" s="169">
        <f>SUMIF(Таб[Тип],ПРОГНОЗ!$C58,Таб[Всього])/1000
             +$H$7*$B$58*365*24/1000
                 +$I$7*$B$58*365*24/1000/2</f>
        <v>5780.5072673327313</v>
      </c>
      <c r="J58" s="169">
        <f>SUMIF(Таб[Тип],ПРОГНОЗ!$C58,Таб[Всього])/1000
             +$H$7*$B$58*365*24/1000
                 +$I$7*$B$58*365*24/1000
                        +$J$7*$B$58*365*24/1000/2</f>
        <v>7725.2272673327316</v>
      </c>
      <c r="K58" s="169">
        <f>SUMIF(Таб[Тип],ПРОГНОЗ!$C58,Таб[Всього])/1000
             +$H$7*$B$58*365*24/1000
                 +$I$7*$B$58*365*24/1000
                        +$J$7*$B$58*365*24/1000</f>
        <v>8697.5872673327322</v>
      </c>
      <c r="L58" s="169">
        <f>SUMIF(Таб[Тип],ПРОГНОЗ!$C58,Таб[Всього])/1000
             +$H$7*$B$58*365*24/1000
                 +$I$7*$B$58*365*24/1000
                        +$J$7*$B$58*365*24/1000</f>
        <v>8697.5872673327322</v>
      </c>
      <c r="M58" s="169">
        <f>SUMIF(Таб[Тип],ПРОГНОЗ!$C58,Таб[Всього])/1000
             +$H$7*$B$58*365*24/1000
                 +$I$7*$B$58*365*24/1000
                        +$J$7*$B$58*365*24/1000</f>
        <v>8697.5872673327322</v>
      </c>
      <c r="N58" s="169">
        <f>SUMIF(Таб[Тип],ПРОГНОЗ!$C58,Таб[Всього])/1000
             +$H$7*$B$58*365*24/1000
                 +$I$7*$B$58*365*24/1000
                        +$J$7*$B$58*365*24/1000</f>
        <v>8697.5872673327322</v>
      </c>
      <c r="O58" s="169">
        <f>SUMIF(Таб[Тип],ПРОГНОЗ!$C58,Таб[Всього])/1000
             +$H$7*$B$58*365*24/1000
                 +$I$7*$B$58*365*24/1000
                        +$J$7*$B$58*365*24/1000</f>
        <v>8697.5872673327322</v>
      </c>
      <c r="P58" s="169">
        <f>SUMIF(Таб[Тип],ПРОГНОЗ!$C58,Таб[Всього])/1000
             +$H$7*$B$58*365*24/1000
                 +$I$7*$B$58*365*24/1000
                        +$J$7*$B$58*365*24/1000</f>
        <v>8697.5872673327322</v>
      </c>
      <c r="Q58" s="169">
        <f>SUMIF(Таб[Тип],ПРОГНОЗ!$C58,Таб[Всього])/1000
             +$H$7*$B$58*365*24/1000
                 +$I$7*$B$58*365*24/1000
                        +$J$7*$B$58*365*24/1000</f>
        <v>8697.5872673327322</v>
      </c>
      <c r="R58" s="169">
        <f>SUMIF(Таб[Тип],ПРОГНОЗ!$C58,Таб[Всього])/1000
             +$H$7*$B$58*365*24/1000
                 +$I$7*$B$58*365*24/1000
                        +$J$7*$B$58*365*24/1000</f>
        <v>8697.5872673327322</v>
      </c>
      <c r="S58" s="169">
        <f>SUMIF(Таб[Тип],ПРОГНОЗ!$C58,Таб[Всього])/1000
             +$H$7*$B$58*365*24/1000
                 +$I$7*$B$58*365*24/1000
                        +$J$7*$B$58*365*24/1000</f>
        <v>8697.5872673327322</v>
      </c>
      <c r="T58" s="169">
        <f>SUMIF(Таб[Тип],ПРОГНОЗ!$C58,Таб[Всього])/1000
             +$H$7*$B$58*365*24/1000
                 +$I$7*$B$58*365*24/1000
                        +$J$7*$B$58*365*24/1000</f>
        <v>8697.5872673327322</v>
      </c>
      <c r="U58" s="169">
        <f>SUMIF(Таб[Тип],ПРОГНОЗ!$C58,Таб[Всього])/1000
             +$H$7*$B$58*365*24/1000
                 +$I$7*$B$58*365*24/1000
                        +$J$7*$B$58*365*24/1000</f>
        <v>8697.5872673327322</v>
      </c>
      <c r="V58" s="169">
        <f>SUMIF(Таб[Тип],ПРОГНОЗ!$C58,Таб[Всього])/1000
             +$H$7*$B$58*365*24/1000
                 +$I$7*$B$58*365*24/1000
                        +$J$7*$B$58*365*24/1000</f>
        <v>8697.5872673327322</v>
      </c>
      <c r="W58" s="169">
        <f>SUMIF(Таб[Тип],ПРОГНОЗ!$C58,Таб[Всього])/1000
             +$H$7*$B$58*365*24/1000
                 +$I$7*$B$58*365*24/1000
                        +$J$7*$B$58*365*24/1000</f>
        <v>8697.5872673327322</v>
      </c>
      <c r="Y58" s="232" t="e">
        <f>SUMPRODUCT(Реєстр!#REF!,Реєстр!BP4:BP79)/SUM(Реєстр!BP4:BP79)</f>
        <v>#REF!</v>
      </c>
      <c r="Z58" s="33" t="s">
        <v>54</v>
      </c>
      <c r="AA58" s="243" t="e">
        <f>SUMIF(Таб[Тип],ПРОГНОЗ!$C58,Таб[Всього])/1000*(Y58-AB44)
             +$H$7*$B$58*365*24/1000*(Z48-AB44)
                 +$I$7*$B$58*365*24/1000/2*(Z48-AB44)</f>
        <v>#REF!</v>
      </c>
      <c r="AB58" s="243" t="e">
        <f>SUMIF(Таб[Тип],ПРОГНОЗ!$C58,Таб[Всього])/1000*(Y58-AB44)
             +$H$7*$B$58*365*24/1000*(AA48-AB44)
                 +$I$7*$B$58*365*24/1000*(AA48-AB44)
                        +$J$7*$B$58*365*24/1000/2*(AA48-AB44)</f>
        <v>#REF!</v>
      </c>
      <c r="AC58" s="243" t="e">
        <f>SUMIF(Таб[Тип],ПРОГНОЗ!$C58,Таб[Всього])/1000*($Y$58-$AB$44)
             +$H$7*$B$58*365*24/1000*($AA$48-$AB$44)
                 +$I$7*$B$58*365*24/1000*($AA$48-$AB$44)
                        +$J$7*$B$58*365*24/1000*($AA$48-$AB$44)</f>
        <v>#REF!</v>
      </c>
      <c r="AD58" s="243" t="e">
        <f>SUMIF(Таб[Тип],ПРОГНОЗ!$C58,Таб[Всього])/1000*($Y$58-$AB$44)
             +$H$7*$B$58*365*24/1000*($AA$48-$AB$44)
                 +$I$7*$B$58*365*24/1000*($AA$48-$AB$44)
                        +$J$7*$B$58*365*24/1000*($AA$48-$AB$44)</f>
        <v>#REF!</v>
      </c>
      <c r="AE58" s="243" t="e">
        <f>SUMIF(Таб[Тип],ПРОГНОЗ!$C58,Таб[Всього])/1000*($Y$58-$AB$44)
             +$H$7*$B$58*365*24/1000*($AA$48-$AB$44)
                 +$I$7*$B$58*365*24/1000*($AA$48-$AB$44)
                        +$J$7*$B$58*365*24/1000*($AA$48-$AB$44)</f>
        <v>#REF!</v>
      </c>
      <c r="AF58" s="243" t="e">
        <f>SUMIF(Таб[Тип],ПРОГНОЗ!$C58,Таб[Всього])/1000*($Y$58-$AB$44)
             +$H$7*$B$58*365*24/1000*($AA$48-$AB$44)
                 +$I$7*$B$58*365*24/1000*($AA$48-$AB$44)
                        +$J$7*$B$58*365*24/1000*($AA$48-$AB$44)</f>
        <v>#REF!</v>
      </c>
      <c r="AG58" s="243" t="e">
        <f>SUMIF(Таб[Тип],ПРОГНОЗ!$C58,Таб[Всього])/1000*($Y$58-$AB$44)
             +$H$7*$B$58*365*24/1000*($AA$48-$AB$44)
                 +$I$7*$B$58*365*24/1000*($AA$48-$AB$44)
                        +$J$7*$B$58*365*24/1000*($AA$48-$AB$44)</f>
        <v>#REF!</v>
      </c>
      <c r="AH58" s="243" t="e">
        <f>SUMIF(Таб[Тип],ПРОГНОЗ!$C58,Таб[Всього])/1000*($Y$58-$AB$44)
             +$H$7*$B$58*365*24/1000*($AA$48-$AB$44)
                 +$I$7*$B$58*365*24/1000*($AA$48-$AB$44)
                        +$J$7*$B$58*365*24/1000*($AA$48-$AB$44)</f>
        <v>#REF!</v>
      </c>
      <c r="AI58" s="243" t="e">
        <f>SUMIF(Таб[Тип],ПРОГНОЗ!$C58,Таб[Всього])/1000*($Y$58-$AB$44)
             +$H$7*$B$58*365*24/1000*($AA$48-$AB$44)
                 +$I$7*$B$58*365*24/1000*($AA$48-$AB$44)
                        +$J$7*$B$58*365*24/1000*($AA$48-$AB$44)</f>
        <v>#REF!</v>
      </c>
      <c r="AJ58" s="244"/>
      <c r="AK58" s="244"/>
      <c r="AL58" s="244"/>
      <c r="AM58" s="244"/>
      <c r="AN58" s="244"/>
      <c r="AO58" s="244"/>
      <c r="AP58" s="239" t="e">
        <f t="shared" si="27"/>
        <v>#REF!</v>
      </c>
    </row>
    <row r="59" spans="2:58" ht="15">
      <c r="B59" s="107">
        <v>0.44</v>
      </c>
      <c r="C59" s="33" t="s">
        <v>118</v>
      </c>
      <c r="D59" s="33"/>
      <c r="E59" s="33">
        <v>101.28</v>
      </c>
      <c r="F59" s="111">
        <v>103.111</v>
      </c>
      <c r="G59" s="235">
        <v>162.375</v>
      </c>
      <c r="H59" s="169">
        <f>SUMIF(Таб[Підтип],ПРОГНОЗ!$C59,Таб[Всього])/1000+
                 $H8*$B59*365*24/1000/2</f>
        <v>382.04041919999997</v>
      </c>
      <c r="I59" s="169">
        <f>SUMIF(Таб[Підтип],ПРОГНОЗ!$C59,Таб[Всього])/1000+
                 $H8*$B59*365*24/1000+
                         $I8*$B59*365*24/1000/2</f>
        <v>449.49241919999997</v>
      </c>
      <c r="J59" s="169">
        <f>SUMIF(Таб[Підтип],ПРОГНОЗ!$C59,Таб[Всього])/1000+
                 $H8*$B59*365*24/1000+
                         $I8*$B59*365*24/1000+
                                  $J8*$B59*365*24/1000/2</f>
        <v>541.99801920000004</v>
      </c>
      <c r="K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L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M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N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O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P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Q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R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S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T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U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V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W59" s="169">
        <f>SUMIF(Таб[Підтип],ПРОГНОЗ!$C59,Таб[Всього])/1000+
                 $H8*$B59*365*24/1000+
                         $I8*$B59*365*24/1000+
                                  $J8*$B59*365*24/1000</f>
        <v>595.95961920000002</v>
      </c>
      <c r="Y59" s="232" t="e">
        <f>SUMPRODUCT(Реєстр!#REF!,Реєстр!BP80:BP147)/SUM(Реєстр!BP80:BP147)</f>
        <v>#REF!</v>
      </c>
      <c r="Z59" s="33" t="s">
        <v>118</v>
      </c>
      <c r="AA59" s="243" t="e">
        <f t="shared" ref="AA59:AI60" si="28">H59*$Y$59</f>
        <v>#REF!</v>
      </c>
      <c r="AB59" s="243" t="e">
        <f t="shared" si="28"/>
        <v>#REF!</v>
      </c>
      <c r="AC59" s="243" t="e">
        <f t="shared" si="28"/>
        <v>#REF!</v>
      </c>
      <c r="AD59" s="243" t="e">
        <f t="shared" si="28"/>
        <v>#REF!</v>
      </c>
      <c r="AE59" s="243" t="e">
        <f t="shared" si="28"/>
        <v>#REF!</v>
      </c>
      <c r="AF59" s="243" t="e">
        <f t="shared" si="28"/>
        <v>#REF!</v>
      </c>
      <c r="AG59" s="243" t="e">
        <f t="shared" si="28"/>
        <v>#REF!</v>
      </c>
      <c r="AH59" s="243" t="e">
        <f t="shared" si="28"/>
        <v>#REF!</v>
      </c>
      <c r="AI59" s="243" t="e">
        <f t="shared" si="28"/>
        <v>#REF!</v>
      </c>
      <c r="AJ59" s="243"/>
      <c r="AK59" s="243"/>
      <c r="AL59" s="243"/>
      <c r="AM59" s="243"/>
      <c r="AN59" s="243"/>
      <c r="AO59" s="243"/>
      <c r="AP59" s="239" t="e">
        <f t="shared" si="27"/>
        <v>#REF!</v>
      </c>
    </row>
    <row r="60" spans="2:58" ht="15">
      <c r="B60" s="107">
        <v>0.44</v>
      </c>
      <c r="C60" s="33" t="s">
        <v>195</v>
      </c>
      <c r="D60" s="33"/>
      <c r="E60" s="33">
        <v>92.489000000000004</v>
      </c>
      <c r="F60" s="111">
        <v>175.626</v>
      </c>
      <c r="G60" s="235">
        <v>247.422</v>
      </c>
      <c r="H60" s="169">
        <f>SUMIF(Таб[Підтип],ПРОГНОЗ!$C60,Таб[Всього])/1000
      +$H$9*$B$60*365*24/1000/2</f>
        <v>377.07980639999994</v>
      </c>
      <c r="I60" s="169">
        <f>SUMIF(Таб[Підтип],ПРОГНОЗ!$C60,Таб[Всього])/1000
                       +$H$9*$B$60*365*24/1000+
                                 $I$9*$B$60*365*24/1000/2</f>
        <v>446.45900639999991</v>
      </c>
      <c r="J60" s="169">
        <f>SUMIF(Таб[Підтип],ПРОГНОЗ!$C60,Таб[Всього])/1000
                       +$H$9*$B$60*365*24/1000+
                                 $I$9*$B$60*365*24/1000+
                                            $J$9*$B$60*365*24/1000/2</f>
        <v>533.18300639999995</v>
      </c>
      <c r="K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L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M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N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O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P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Q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R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S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T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U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V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W60" s="169">
        <f>SUMIF(Таб[Підтип],ПРОГНОЗ!$C60,Таб[Всього])/1000
                       +$H$9*$B$60*365*24/1000+
                                 $I$9*$B$60*365*24/1000+
                                            $J$9*$B$60*365*24/1000</f>
        <v>581.3630063999999</v>
      </c>
      <c r="Y60" s="233"/>
      <c r="Z60" s="33" t="s">
        <v>195</v>
      </c>
      <c r="AA60" s="243" t="e">
        <f t="shared" si="28"/>
        <v>#REF!</v>
      </c>
      <c r="AB60" s="243" t="e">
        <f t="shared" si="28"/>
        <v>#REF!</v>
      </c>
      <c r="AC60" s="243" t="e">
        <f t="shared" si="28"/>
        <v>#REF!</v>
      </c>
      <c r="AD60" s="243" t="e">
        <f t="shared" si="28"/>
        <v>#REF!</v>
      </c>
      <c r="AE60" s="243" t="e">
        <f t="shared" si="28"/>
        <v>#REF!</v>
      </c>
      <c r="AF60" s="243" t="e">
        <f t="shared" si="28"/>
        <v>#REF!</v>
      </c>
      <c r="AG60" s="243" t="e">
        <f t="shared" si="28"/>
        <v>#REF!</v>
      </c>
      <c r="AH60" s="243" t="e">
        <f t="shared" si="28"/>
        <v>#REF!</v>
      </c>
      <c r="AI60" s="243" t="e">
        <f t="shared" si="28"/>
        <v>#REF!</v>
      </c>
      <c r="AJ60" s="243"/>
      <c r="AK60" s="243"/>
      <c r="AL60" s="243"/>
      <c r="AM60" s="243"/>
      <c r="AN60" s="243"/>
      <c r="AO60" s="243"/>
      <c r="AP60" s="239" t="e">
        <f t="shared" si="27"/>
        <v>#REF!</v>
      </c>
    </row>
    <row r="61" spans="2:58" ht="15.75" thickBot="1">
      <c r="B61" s="107">
        <v>0.33</v>
      </c>
      <c r="C61" s="72" t="s">
        <v>2715</v>
      </c>
      <c r="D61" s="72"/>
      <c r="E61" s="72">
        <v>212.53700000000001</v>
      </c>
      <c r="F61" s="142">
        <v>231.017</v>
      </c>
      <c r="G61" s="248">
        <v>241.547</v>
      </c>
      <c r="H61" s="170">
        <f>SUMIF(Таб[Тип],ПРОГНОЗ!$C61,Таб[Всього])/1000
     +$H$10*$B$61*365*24/1000/2</f>
        <v>340.14309120000007</v>
      </c>
      <c r="I61" s="170">
        <f>SUMIF(Таб[Тип],ПРОГНОЗ!$C61,Таб[Всього])/1000
     +$H$10*$B$61*365*24/1000
          +$I$10*$B$61*365*24/1000/2</f>
        <v>354.59709120000008</v>
      </c>
      <c r="J61" s="170">
        <f>SUMIF(Таб[Тип],ПРОГНОЗ!$C61,Таб[Всього])/1000
     +$H$10*$B$61*365*24/1000
          +$I$10*$B$61*365*24/1000+
                     $J$10*$B$61*365*24/1000/2</f>
        <v>369.05109120000009</v>
      </c>
      <c r="K61" s="170">
        <f>SUMIF(Таб[Тип],ПРОГНОЗ!$C61,Таб[Всього])/1000
     +$H$10*$B$61*365*24/1000
          +$I$10*$B$61*365*24/1000+
                     $J$10*$B$61*365*24/1000</f>
        <v>376.27809120000012</v>
      </c>
      <c r="L61" s="170">
        <f>SUMIF(Таб[Тип],ПРОГНОЗ!$C61,Таб[Всього])/1000
     +$H$10*$B$61*365*24/1000
          +$I$10*$B$61*365*24/1000+
                     $J$10*$B$61*365*24/1000</f>
        <v>376.27809120000012</v>
      </c>
      <c r="M61" s="170">
        <f>SUMIF(Таб[Тип],ПРОГНОЗ!$C61,Таб[Всього])/1000
     +$H$10*$B$61*365*24/1000
          +$I$10*$B$61*365*24/1000+
                     $J$10*$B$61*365*24/1000</f>
        <v>376.27809120000012</v>
      </c>
      <c r="N61" s="170">
        <f>SUMIF(Таб[Тип],ПРОГНОЗ!$C61,Таб[Всього])/1000
     +$H$10*$B$61*365*24/1000
          +$I$10*$B$61*365*24/1000+
                     $J$10*$B$61*365*24/1000</f>
        <v>376.27809120000012</v>
      </c>
      <c r="O61" s="170">
        <f>SUMIF(Таб[Тип],ПРОГНОЗ!$C61,Таб[Всього])/1000
     +$H$10*$B$61*365*24/1000
          +$I$10*$B$61*365*24/1000+
                     $J$10*$B$61*365*24/1000</f>
        <v>376.27809120000012</v>
      </c>
      <c r="P61" s="170">
        <f>SUMIF(Таб[Тип],ПРОГНОЗ!$C61,Таб[Всього])/1000
     +$H$10*$B$61*365*24/1000
          +$I$10*$B$61*365*24/1000+
                     $J$10*$B$61*365*24/1000</f>
        <v>376.27809120000012</v>
      </c>
      <c r="Q61" s="170">
        <f>SUMIF(Таб[Тип],ПРОГНОЗ!$C61,Таб[Всього])/1000
     +$H$10*$B$61*365*24/1000
          +$I$10*$B$61*365*24/1000+
                     $J$10*$B$61*365*24/1000</f>
        <v>376.27809120000012</v>
      </c>
      <c r="R61" s="170">
        <f>SUMIF(Таб[Тип],ПРОГНОЗ!$C61,Таб[Всього])/1000
     +$H$10*$B$61*365*24/1000
          +$I$10*$B$61*365*24/1000+
                     $J$10*$B$61*365*24/1000</f>
        <v>376.27809120000012</v>
      </c>
      <c r="S61" s="170">
        <f>SUMIF(Таб[Тип],ПРОГНОЗ!$C61,Таб[Всього])/1000
     +$H$10*$B$61*365*24/1000
          +$I$10*$B$61*365*24/1000+
                     $J$10*$B$61*365*24/1000</f>
        <v>376.27809120000012</v>
      </c>
      <c r="T61" s="170">
        <f>SUMIF(Таб[Тип],ПРОГНОЗ!$C61,Таб[Всього])/1000
     +$H$10*$B$61*365*24/1000
          +$I$10*$B$61*365*24/1000+
                     $J$10*$B$61*365*24/1000</f>
        <v>376.27809120000012</v>
      </c>
      <c r="U61" s="170">
        <f>SUMIF(Таб[Тип],ПРОГНОЗ!$C61,Таб[Всього])/1000
     +$H$10*$B$61*365*24/1000
          +$I$10*$B$61*365*24/1000+
                     $J$10*$B$61*365*24/1000</f>
        <v>376.27809120000012</v>
      </c>
      <c r="V61" s="170">
        <f>SUMIF(Таб[Тип],ПРОГНОЗ!$C61,Таб[Всього])/1000
     +$H$10*$B$61*365*24/1000
          +$I$10*$B$61*365*24/1000+
                     $J$10*$B$61*365*24/1000</f>
        <v>376.27809120000012</v>
      </c>
      <c r="W61" s="170">
        <f>SUMIF(Таб[Тип],ПРОГНОЗ!$C61,Таб[Всього])/1000
     +$H$10*$B$61*365*24/1000
          +$I$10*$B$61*365*24/1000+
                     $J$10*$B$61*365*24/1000</f>
        <v>376.27809120000012</v>
      </c>
      <c r="Y61" s="234" t="e">
        <f>SUMPRODUCT(Реєстр!#REF!,Реєстр!BP1204:BP1373)/SUM(Реєстр!BP1204:BP1373)</f>
        <v>#REF!</v>
      </c>
      <c r="Z61" s="33" t="s">
        <v>2715</v>
      </c>
      <c r="AA61" s="243" t="e">
        <f t="shared" ref="AA61:AI61" si="29">$Y$61*H61</f>
        <v>#REF!</v>
      </c>
      <c r="AB61" s="243" t="e">
        <f t="shared" si="29"/>
        <v>#REF!</v>
      </c>
      <c r="AC61" s="243" t="e">
        <f t="shared" si="29"/>
        <v>#REF!</v>
      </c>
      <c r="AD61" s="243" t="e">
        <f t="shared" si="29"/>
        <v>#REF!</v>
      </c>
      <c r="AE61" s="243" t="e">
        <f t="shared" si="29"/>
        <v>#REF!</v>
      </c>
      <c r="AF61" s="243" t="e">
        <f t="shared" si="29"/>
        <v>#REF!</v>
      </c>
      <c r="AG61" s="243" t="e">
        <f t="shared" si="29"/>
        <v>#REF!</v>
      </c>
      <c r="AH61" s="243" t="e">
        <f t="shared" si="29"/>
        <v>#REF!</v>
      </c>
      <c r="AI61" s="243" t="e">
        <f t="shared" si="29"/>
        <v>#REF!</v>
      </c>
      <c r="AJ61" s="243"/>
      <c r="AK61" s="243"/>
      <c r="AL61" s="243"/>
      <c r="AM61" s="243"/>
      <c r="AN61" s="243"/>
      <c r="AO61" s="243"/>
      <c r="AP61" s="239" t="e">
        <f t="shared" si="27"/>
        <v>#REF!</v>
      </c>
    </row>
    <row r="62" spans="2:58" ht="19.899999999999999" customHeight="1">
      <c r="C62" s="100" t="s">
        <v>3241</v>
      </c>
      <c r="D62" s="100"/>
      <c r="E62" s="171">
        <f t="shared" ref="E62:G62" si="30">SUM(E56:E61)</f>
        <v>2094.5619999999999</v>
      </c>
      <c r="F62" s="171">
        <f t="shared" si="30"/>
        <v>2791.9949999999999</v>
      </c>
      <c r="G62" s="171">
        <f t="shared" si="30"/>
        <v>5605.3779999999988</v>
      </c>
      <c r="H62" s="171">
        <f>SUM(H56:H61)</f>
        <v>12248.749588348735</v>
      </c>
      <c r="I62" s="171">
        <f t="shared" ref="I62:W62" si="31">SUM(I56:I61)</f>
        <v>14871.329949411296</v>
      </c>
      <c r="J62" s="171">
        <f t="shared" si="31"/>
        <v>17148.716373619623</v>
      </c>
      <c r="K62" s="171">
        <f t="shared" si="31"/>
        <v>18393.283260082702</v>
      </c>
      <c r="L62" s="171">
        <f t="shared" si="31"/>
        <v>18549.161918627004</v>
      </c>
      <c r="M62" s="171">
        <f t="shared" si="31"/>
        <v>18599.94500702004</v>
      </c>
      <c r="N62" s="171">
        <f t="shared" si="31"/>
        <v>18549.852464882715</v>
      </c>
      <c r="O62" s="171">
        <f t="shared" si="31"/>
        <v>18500.060477998217</v>
      </c>
      <c r="P62" s="171">
        <f t="shared" si="31"/>
        <v>18450.567243035024</v>
      </c>
      <c r="Q62" s="171">
        <f t="shared" si="31"/>
        <v>18401.370967481609</v>
      </c>
      <c r="R62" s="171">
        <f t="shared" si="31"/>
        <v>18352.469869581517</v>
      </c>
      <c r="S62" s="171">
        <f t="shared" si="31"/>
        <v>18303.862178268824</v>
      </c>
      <c r="T62" s="171">
        <f t="shared" si="31"/>
        <v>18255.546133104006</v>
      </c>
      <c r="U62" s="171">
        <f t="shared" si="31"/>
        <v>18207.519984210179</v>
      </c>
      <c r="V62" s="171">
        <f t="shared" si="31"/>
        <v>18159.781992209715</v>
      </c>
      <c r="W62" s="171">
        <f t="shared" si="31"/>
        <v>18112.330428161255</v>
      </c>
      <c r="Z62" s="237" t="s">
        <v>3241</v>
      </c>
      <c r="AA62" s="238" t="e">
        <f>SUM(AA56:AA61)</f>
        <v>#REF!</v>
      </c>
      <c r="AB62" s="238" t="e">
        <f t="shared" ref="AB62:AI62" si="32">SUM(AB56:AB61)</f>
        <v>#REF!</v>
      </c>
      <c r="AC62" s="238" t="e">
        <f t="shared" si="32"/>
        <v>#REF!</v>
      </c>
      <c r="AD62" s="238" t="e">
        <f t="shared" si="32"/>
        <v>#REF!</v>
      </c>
      <c r="AE62" s="238" t="e">
        <f t="shared" si="32"/>
        <v>#REF!</v>
      </c>
      <c r="AF62" s="238" t="e">
        <f t="shared" si="32"/>
        <v>#REF!</v>
      </c>
      <c r="AG62" s="238" t="e">
        <f t="shared" si="32"/>
        <v>#REF!</v>
      </c>
      <c r="AH62" s="238" t="e">
        <f t="shared" si="32"/>
        <v>#REF!</v>
      </c>
      <c r="AI62" s="238" t="e">
        <f t="shared" si="32"/>
        <v>#REF!</v>
      </c>
      <c r="AJ62" s="238"/>
      <c r="AK62" s="238"/>
      <c r="AL62" s="238"/>
      <c r="AM62" s="238"/>
      <c r="AN62" s="238"/>
      <c r="AO62" s="238"/>
      <c r="AP62" s="239" t="e">
        <f t="shared" si="27"/>
        <v>#REF!</v>
      </c>
      <c r="AQ62" s="266" t="s">
        <v>3528</v>
      </c>
      <c r="AR62" s="265"/>
      <c r="AS62" s="265"/>
      <c r="AT62" s="265"/>
      <c r="AU62" s="265"/>
      <c r="AV62" s="265"/>
      <c r="AW62" s="265"/>
      <c r="AX62" s="265"/>
      <c r="AY62" s="265"/>
      <c r="AZ62" s="265"/>
      <c r="BA62" s="265"/>
      <c r="BB62" s="265"/>
      <c r="BC62" s="265"/>
      <c r="BD62" s="265"/>
      <c r="BE62" s="265"/>
    </row>
    <row r="63" spans="2:58" ht="8.4499999999999993" customHeight="1"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</row>
    <row r="64" spans="2:58" ht="15.75">
      <c r="C64" s="269" t="s">
        <v>3494</v>
      </c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Z64" s="236" t="s">
        <v>2</v>
      </c>
      <c r="AA64" s="245">
        <v>2021</v>
      </c>
      <c r="AB64" s="245">
        <v>2022</v>
      </c>
      <c r="AC64" s="245">
        <v>2023</v>
      </c>
      <c r="AD64" s="245">
        <v>2024</v>
      </c>
      <c r="AE64" s="245">
        <v>2025</v>
      </c>
      <c r="AF64" s="245">
        <v>2026</v>
      </c>
      <c r="AG64" s="245">
        <v>2027</v>
      </c>
      <c r="AH64" s="245">
        <v>2028</v>
      </c>
      <c r="AI64" s="245">
        <v>2029</v>
      </c>
      <c r="AJ64" s="245">
        <v>2030</v>
      </c>
      <c r="AK64" s="245">
        <v>2031</v>
      </c>
      <c r="AL64" s="245">
        <v>2032</v>
      </c>
      <c r="AM64" s="245">
        <v>2033</v>
      </c>
      <c r="AN64" s="245">
        <v>2034</v>
      </c>
      <c r="AO64" s="245">
        <v>2035</v>
      </c>
      <c r="AP64" s="245">
        <v>2036</v>
      </c>
      <c r="AQ64" s="245">
        <v>2037</v>
      </c>
      <c r="AR64" s="245">
        <v>2038</v>
      </c>
      <c r="AS64" s="245">
        <v>2039</v>
      </c>
      <c r="AT64" s="245">
        <v>2040</v>
      </c>
      <c r="AU64" s="245">
        <v>2041</v>
      </c>
      <c r="AV64" s="245">
        <v>2042</v>
      </c>
      <c r="AW64" s="245">
        <v>2043</v>
      </c>
      <c r="AX64" s="245">
        <v>2044</v>
      </c>
      <c r="AY64" s="245">
        <v>2045</v>
      </c>
      <c r="AZ64" s="245">
        <v>2046</v>
      </c>
      <c r="BA64" s="245">
        <v>2047</v>
      </c>
      <c r="BB64" s="245">
        <v>2048</v>
      </c>
      <c r="BC64" s="245">
        <v>2049</v>
      </c>
      <c r="BD64" s="245">
        <v>2050</v>
      </c>
      <c r="BE64" s="245">
        <v>2051</v>
      </c>
      <c r="BF64" s="245" t="s">
        <v>3241</v>
      </c>
    </row>
    <row r="65" spans="2:58" ht="15">
      <c r="B65" t="s">
        <v>3311</v>
      </c>
      <c r="C65" s="173" t="s">
        <v>2</v>
      </c>
      <c r="D65" s="173"/>
      <c r="E65" s="173"/>
      <c r="F65" s="173"/>
      <c r="G65" s="173"/>
      <c r="H65" s="173">
        <v>2020</v>
      </c>
      <c r="I65" s="173">
        <v>2021</v>
      </c>
      <c r="J65" s="173">
        <v>2022</v>
      </c>
      <c r="K65" s="173">
        <v>2023</v>
      </c>
      <c r="L65" s="173">
        <v>2024</v>
      </c>
      <c r="M65" s="173">
        <v>2025</v>
      </c>
      <c r="N65" s="173">
        <v>2026</v>
      </c>
      <c r="O65" s="173">
        <v>2027</v>
      </c>
      <c r="P65" s="173">
        <v>2028</v>
      </c>
      <c r="Q65" s="173">
        <v>2029</v>
      </c>
      <c r="R65" s="173">
        <v>2030</v>
      </c>
      <c r="S65" s="173">
        <v>2031</v>
      </c>
      <c r="T65" s="173">
        <v>2032</v>
      </c>
      <c r="U65" s="173">
        <v>2033</v>
      </c>
      <c r="V65" s="173">
        <v>2034</v>
      </c>
      <c r="W65" s="173">
        <v>2035</v>
      </c>
      <c r="Z65" s="33" t="s">
        <v>3526</v>
      </c>
      <c r="AA65" s="243">
        <f>($I$37*$B66*365*24/1000*(1-$J$2)^(I65-$I$65))/2*(AF46-$AB$44)</f>
        <v>1.2001199999999999</v>
      </c>
      <c r="AB65" s="243">
        <f>$H$27*$B66*365*24/1000*(1-$J$2)^(J65-$I$65)*(AF46-AB44)+
                 ($I$27*$B66*365*24/1000*(1-$J$2)^(J65-$J65))/2*(AG46-AB44)</f>
        <v>4.7800779599999998</v>
      </c>
      <c r="AC65" s="243">
        <f>$H$27*$B66*365*24/1000*(1-$J$2)^(K65-$I$65)*(AF46-AB44)+
                 ($I$27*$B66*365*24/1000*(1-$J$2)^(K65-$J65))*(AG46-AB44)+
                                   ($J$27*$B66*365*24/1000*(1-$J$2)^(K65-$K65))/2*(AH46-AB44)</f>
        <v>9.5075090558399982</v>
      </c>
      <c r="AD65" s="243">
        <f>$H$27*$B66*365*24/1000*(1-$J$2)^(L65-$I$65)*(AF46-AB44)+
                 ($I$27*$B66*365*24/1000*(1-$J$2)^(L65-$J65))*(AG46-AB44)+
                                   ($J$27*$B66*365*24/1000*(1-$J$2)^(L65-$K65))*(AH46-AB44)+
                                                        ($K$27*$B66*365*24/1000*(1-$J$2)^(L65-$L65))/2*(AI46-AB44)</f>
        <v>14.122675175904957</v>
      </c>
      <c r="AE65" s="243">
        <f>$H$27*$B66*365*24/1000*(1-$J$2)^(M65-$I$65)*(AF46-AB44)+
                 ($I$27*$B66*365*24/1000*(1-$J$2)^(M65-$J65))*(AG46-AB44)+
                                   ($J$27*$B66*365*24/1000*(1-$J$2)^(M65-$K65))*(AH46-AB44)+
                                                        ($K$27*$B66*365*24/1000*(1-$J$2)^(M65-$L65))*(AI46-AB44)+
                                                                 ($L$27*$B66*365*24/1000*(1-$J$2)^(M65-$M65))/2*(AJ46-AB44)</f>
        <v>18.854560738849528</v>
      </c>
      <c r="AF65" s="243">
        <f>$H$27*$B66*365*24/1000*(1-$J$2)^(N65-$I$65)*(AF46-AB44)+
                 ($I$27*$B66*365*24/1000*(1-$J$2)^(N65-$J65))*(AG46-AB44)+
                                   ($J$27*$B66*365*24/1000*(1-$J$2)^(N65-$K65))*(AH46-AB44)+
                                                        ($K$27*$B66*365*24/1000*(1-$J$2)^(N65-$L65))*(AI46-AB44)+
                                                                 ($L$27*$B66*365*24/1000*(1-$J$2)^(N65-$M65))*(AJ46-AB44)+
                                                                         ($M$27*$B66*365*24/1000*(1-$J$2)^(N65-$N65))/2*(AK46-AB44)</f>
        <v>23.79681886241643</v>
      </c>
      <c r="AG65" s="243">
        <f>$H$27*$B66*365*24/1000*(1-$J$2)^(O65-$I$65)*(AF46-AB44)+
                 ($I$27*$B66*365*24/1000*(1-$J$2)^(O65-$J65))*(AG46-AB44)+
                                   ($J$27*$B66*365*24/1000*(1-$J$2)^(O65-$K65))*(AH46-AB44)+
                                                        ($K$27*$B66*365*24/1000*(1-$J$2)^(O65-$L65))*(AI46-AB44)+
                                                                 ($L$27*$B66*365*24/1000*(1-$J$2)^(O65-$M65))*(AJ46-AB44)+
                                                                         ($M$27*$B66*365*24/1000*(1-$J$2)^(O65-$N65))*(AK46-AB44)+
                                                                                ($N$27*$B66*365*24/1000*(1-$J$2)^(O65-$O65))/2*(AL46-AB44)</f>
        <v>29.309303419241935</v>
      </c>
      <c r="AH65" s="243">
        <f>$H$27*$B66*365*24/1000*(1-$J$2)^(P65-$I$65)*(AF46-AB44)+
                 ($I$27*$B66*365*24/1000*(1-$J$2)^(P65-$J65))*(AG46-AB44)+
                                   ($J$27*$B66*365*24/1000*(1-$J$2)^(P65-$K65))*(AH46-AB44)+
                                                        ($K$27*$B66*365*24/1000*(1-$J$2)^(P65-$L65))*(AI46-AB44)+
                                                                 ($L$27*$B66*365*24/1000*(1-$J$2)^(P65-$M65))*(AJ46-AB44)+
                                                                         ($M$27*$B66*365*24/1000*(1-$J$2)^(P65-$N65))*(AK46-AB44)+
                                                                                ($N$27*$B66*365*24/1000*(1-$J$2)^(P65-$O65))*(AL46-AB44)+
                                                                                        ($O$27*$B66*365*24/1000*(1-$J$2)^(P65-$P65))/2*(AM46-AB44)</f>
        <v>33.795193726726481</v>
      </c>
      <c r="AI65" s="243">
        <f>$H$27*$B66*365*24/1000*(1-$J$2)^(Q65-$I$65)*(AF46-AB44)+
                 ($I$27*$B66*365*24/1000*(1-$J$2)^(Q65-$J65))*(AG46-AB44)+
                                   ($J$27*$B66*365*24/1000*(1-$J$2)^(Q65-$K65))*(AH46-AB44)+
                                                        ($K$27*$B66*365*24/1000*(1-$J$2)^(Q65-$L65))*(AI46-AB44)+
                                                                 ($L$27*$B66*365*24/1000*(1-$J$2)^(Q65-$M65))*(AJ46-AB44)+
                                                                         ($M$27*$B66*365*24/1000*(1-$J$2)^(Q65-$N65))*(AK46-AB44)+
                                                                                ($N$27*$B66*365*24/1000*(1-$J$2)^(Q65-$O65))*(AL46-AB44)+
                                                                                        ($O$27*$B66*365*24/1000*(1-$J$2)^(Q65-$P65))*(AM46-AB44)+
                                                                                            ($P$27*$B66*365*24/1000*(1-$J$2)^(Q65-$Q65))/2*(AN46-AB44)</f>
        <v>35.143217628366124</v>
      </c>
      <c r="AJ65" s="243">
        <f>$H$27*$B66*365*24/1000*(1-$J$2)^(R65-$I$65)*($AF$46-$AB$44)+
                 ($I$27*$B66*365*24/1000*(1-$J$2)^(R65-$J65))*($AG$46-$AB$44)+
                                   ($J$27*$B66*365*24/1000*(1-$J$2)^(R65-$K65))*($AH$46-$AB$44)+
                                                        ($K$27*$B66*365*24/1000*(1-$J$2)^(R65-$L65))*($AI$46-$AB$44)+
                                                                 ($L$27*$B66*365*24/1000*(1-$J$2)^(R65-$M65))*($AJ$46-$AB$44)+
                                                                         ($M$27*$B66*365*24/1000*(1-$J$2)^(R65-$N65))*($AK$46-$AB$44)+
                                                                                ($N$27*$B66*365*24/1000*(1-$J$2)^(R65-$O65))*($AL$46-$AB$44)+
                                                                                        ($O$27*$B66*365*24/1000*(1-$J$2)^(R65-$P65))*($AM$46-$AB$44)+
                                                                                            ($P$27*$B66*365*24/1000*(1-$J$2)^(R65-$Q65))*($AN$46-$AB$44)+
                                                                                                 ($Q$27*$B66*365*24/1000*(1-$J$2)^(R65-$R65))/2*($AO$46-$AB$44)</f>
        <v>34.932358322595931</v>
      </c>
      <c r="AK65" s="243">
        <f>$H$27*$B66*365*24/1000*(1-$J$2)^(AK64-$I$65)*($AF$46-$AB$44)+
                 ($I$27*$B66*365*24/1000*(1-$J$2)^(AK64-$J65))*($AG$46-$AB$44)+
                                   ($J$27*$B66*365*24/1000*(1-$J$2)^(AK64-$K65))*($AH$46-$AB$44)+
                                                        ($K$27*$B66*365*24/1000*(1-$J$2)^(AK64-$L65))*($AI$46-$AB$44)+
                                                                 ($L$27*$B66*365*24/1000*(1-$J$2)^(AK64-$M65))*($AJ$46-$AB$44)+
                                                                         ($M$27*$B66*365*24/1000*(1-$J$2)^(AK64-$N65))*($AK$46-$AB$44)+
                                                                                ($N$27*$B66*365*24/1000*(1-$J$2)^(AK64-$O65))*($AL$46-$AB$44)+
                                                                                        ($O$27*$B66*365*24/1000*(1-$J$2)^(AK64-$P65))*($AM$46-$AB$44)+
                                                                                            ($P$27*$B66*365*24/1000*(1-$J$2)^(AK64-$Q65))*($AN$46-$AB$44)+
                                                                                                 ($Q$27*$B66*365*24/1000*(1-$J$2)^(AK64-$R65))*($AO$46-$AB$44)</f>
        <v>34.722764172660348</v>
      </c>
      <c r="AL65" s="243">
        <f>$H$27*$B66*365*24/1000*(1-$J$2)^(AL64-$I$65)*($AF$46-$AB$44)+
                 ($I$27*$B66*365*24/1000*(1-$J$2)^(AL64-$J65))*($AG$46-$AB$44)+
                                   ($J$27*$B66*365*24/1000*(1-$J$2)^(AL64-$K65))*($AH$46-$AB$44)+
                                                        ($K$27*$B66*365*24/1000*(1-$J$2)^(AL64-$L65))*($AI$46-$AB$44)+
                                                                 ($L$27*$B66*365*24/1000*(1-$J$2)^(AL64-$M65))*($AJ$46-$AB$44)+
                                                                         ($M$27*$B66*365*24/1000*(1-$J$2)^(AL64-$N65))*($AK$46-$AB$44)+
                                                                                ($N$27*$B66*365*24/1000*(1-$J$2)^(AL64-$O65))*($AL$46-$AB$44)+
                                                                                        ($O$27*$B66*365*24/1000*(1-$J$2)^(AL64-$P65))*($AM$46-$AB$44)+
                                                                                            ($P$27*$B66*365*24/1000*(1-$J$2)^(AL64-$Q65))*($AN$46-$AB$44)+
                                                                                                 ($Q$27*$B66*365*24/1000*(1-$J$2)^(AL64-$R65))*($AO$46-$AB$44)</f>
        <v>34.51442758762439</v>
      </c>
      <c r="AM65" s="243">
        <f t="shared" ref="AM65:AP65" si="33">$H$27*$B66*365*24/1000*(1-$J$2)^(AM64-$I$65)*($AF$46-$AB$44)+
                 ($I$27*$B66*365*24/1000*(1-$J$2)^(AM64-$J65))*($AG$46-$AB$44)+
                                   ($J$27*$B66*365*24/1000*(1-$J$2)^(AM64-$K65))*($AH$46-$AB$44)+
                                                        ($K$27*$B66*365*24/1000*(1-$J$2)^(AM64-$L65))*($AI$46-$AB$44)+
                                                                 ($L$27*$B66*365*24/1000*(1-$J$2)^(AM64-$M65))*($AJ$46-$AB$44)+
                                                                         ($M$27*$B66*365*24/1000*(1-$J$2)^(AM64-$N65))*($AK$46-$AB$44)+
                                                                                ($N$27*$B66*365*24/1000*(1-$J$2)^(AM64-$O65))*($AL$46-$AB$44)+
                                                                                        ($O$27*$B66*365*24/1000*(1-$J$2)^(AM64-$P65))*($AM$46-$AB$44)+
                                                                                            ($P$27*$B66*365*24/1000*(1-$J$2)^(AM64-$Q65))*($AN$46-$AB$44)+
                                                                                                 ($Q$27*$B66*365*24/1000*(1-$J$2)^(AM64-$R65))*($AO$46-$AB$44)</f>
        <v>34.307341022098647</v>
      </c>
      <c r="AN65" s="243">
        <f t="shared" si="33"/>
        <v>34.10149697596605</v>
      </c>
      <c r="AO65" s="243">
        <f t="shared" si="33"/>
        <v>33.896887994110259</v>
      </c>
      <c r="AP65" s="243">
        <f t="shared" si="33"/>
        <v>33.693506666145595</v>
      </c>
      <c r="AQ65" s="243">
        <f t="shared" ref="AQ65" si="34">$H$27*$B66*365*24/1000*(1-$J$2)^(AQ64-$I$65)*($AF$46-$AB$44)+
                 ($I$27*$B66*365*24/1000*(1-$J$2)^(AQ64-$J65))*($AG$46-$AB$44)+
                                   ($J$27*$B66*365*24/1000*(1-$J$2)^(AQ64-$K65))*($AH$46-$AB$44)+
                                                        ($K$27*$B66*365*24/1000*(1-$J$2)^(AQ64-$L65))*($AI$46-$AB$44)+
                                                                 ($L$27*$B66*365*24/1000*(1-$J$2)^(AQ64-$M65))*($AJ$46-$AB$44)+
                                                                         ($M$27*$B66*365*24/1000*(1-$J$2)^(AQ64-$N65))*($AK$46-$AB$44)+
                                                                                ($N$27*$B66*365*24/1000*(1-$J$2)^(AQ64-$O65))*($AL$46-$AB$44)+
                                                                                        ($O$27*$B66*365*24/1000*(1-$J$2)^(AQ64-$P65))*($AM$46-$AB$44)+
                                                                                            ($P$27*$B66*365*24/1000*(1-$J$2)^(AQ64-$Q65))*($AN$46-$AB$44)+
                                                                                                 ($Q$27*$B66*365*24/1000*(1-$J$2)^(AQ64-$R65))*($AO$46-$AB$44)</f>
        <v>33.491345626148721</v>
      </c>
      <c r="AR65" s="243">
        <f t="shared" ref="AR65" si="35">$H$27*$B66*365*24/1000*(1-$J$2)^(AR64-$I$65)*($AF$46-$AB$44)+
                 ($I$27*$B66*365*24/1000*(1-$J$2)^(AR64-$J65))*($AG$46-$AB$44)+
                                   ($J$27*$B66*365*24/1000*(1-$J$2)^(AR64-$K65))*($AH$46-$AB$44)+
                                                        ($K$27*$B66*365*24/1000*(1-$J$2)^(AR64-$L65))*($AI$46-$AB$44)+
                                                                 ($L$27*$B66*365*24/1000*(1-$J$2)^(AR64-$M65))*($AJ$46-$AB$44)+
                                                                         ($M$27*$B66*365*24/1000*(1-$J$2)^(AR64-$N65))*($AK$46-$AB$44)+
                                                                                ($N$27*$B66*365*24/1000*(1-$J$2)^(AR64-$O65))*($AL$46-$AB$44)+
                                                                                        ($O$27*$B66*365*24/1000*(1-$J$2)^(AR64-$P65))*($AM$46-$AB$44)+
                                                                                            ($P$27*$B66*365*24/1000*(1-$J$2)^(AR64-$Q65))*($AN$46-$AB$44)+
                                                                                                 ($Q$27*$B66*365*24/1000*(1-$J$2)^(AR64-$R65))*($AO$46-$AB$44)</f>
        <v>33.290397552391838</v>
      </c>
      <c r="AS65" s="243">
        <f t="shared" ref="AS65" si="36">$H$27*$B66*365*24/1000*(1-$J$2)^(AS64-$I$65)*($AF$46-$AB$44)+
                 ($I$27*$B66*365*24/1000*(1-$J$2)^(AS64-$J65))*($AG$46-$AB$44)+
                                   ($J$27*$B66*365*24/1000*(1-$J$2)^(AS64-$K65))*($AH$46-$AB$44)+
                                                        ($K$27*$B66*365*24/1000*(1-$J$2)^(AS64-$L65))*($AI$46-$AB$44)+
                                                                 ($L$27*$B66*365*24/1000*(1-$J$2)^(AS64-$M65))*($AJ$46-$AB$44)+
                                                                         ($M$27*$B66*365*24/1000*(1-$J$2)^(AS64-$N65))*($AK$46-$AB$44)+
                                                                                ($N$27*$B66*365*24/1000*(1-$J$2)^(AS64-$O65))*($AL$46-$AB$44)+
                                                                                        ($O$27*$B66*365*24/1000*(1-$J$2)^(AS64-$P65))*($AM$46-$AB$44)+
                                                                                            ($P$27*$B66*365*24/1000*(1-$J$2)^(AS64-$Q65))*($AN$46-$AB$44)+
                                                                                                 ($Q$27*$B66*365*24/1000*(1-$J$2)^(AS64-$R65))*($AO$46-$AB$44)</f>
        <v>33.090655167077486</v>
      </c>
      <c r="AT65" s="243">
        <f t="shared" ref="AT65" si="37">$H$27*$B66*365*24/1000*(1-$J$2)^(AT64-$I$65)*($AF$46-$AB$44)+
                 ($I$27*$B66*365*24/1000*(1-$J$2)^(AT64-$J65))*($AG$46-$AB$44)+
                                   ($J$27*$B66*365*24/1000*(1-$J$2)^(AT64-$K65))*($AH$46-$AB$44)+
                                                        ($K$27*$B66*365*24/1000*(1-$J$2)^(AT64-$L65))*($AI$46-$AB$44)+
                                                                 ($L$27*$B66*365*24/1000*(1-$J$2)^(AT64-$M65))*($AJ$46-$AB$44)+
                                                                         ($M$27*$B66*365*24/1000*(1-$J$2)^(AT64-$N65))*($AK$46-$AB$44)+
                                                                                ($N$27*$B66*365*24/1000*(1-$J$2)^(AT64-$O65))*($AL$46-$AB$44)+
                                                                                        ($O$27*$B66*365*24/1000*(1-$J$2)^(AT64-$P65))*($AM$46-$AB$44)+
                                                                                            ($P$27*$B66*365*24/1000*(1-$J$2)^(AT64-$Q65))*($AN$46-$AB$44)+
                                                                                                 ($Q$27*$B66*365*24/1000*(1-$J$2)^(AT64-$R65))*($AO$46-$AB$44)</f>
        <v>32.892111236075017</v>
      </c>
      <c r="AU65" s="243">
        <f>$H$27*$B66*365*24/1000*(1-$J$2)^(AU64-$I$65)*($AF$46-$AB$44)/2+
                 ($I$27*$B66*365*24/1000*(1-$J$2)^(AU64-$J65))*($AG$46-$AB$44)+
                                   ($J$27*$B66*365*24/1000*(1-$J$2)^(AU64-$K65))*($AH$46-$AB$44)+
                                                        ($K$27*$B66*365*24/1000*(1-$J$2)^(AU64-$L65))*($AI$46-$AB$44)+
                                                                 ($L$27*$B66*365*24/1000*(1-$J$2)^(AU64-$M65))*($AJ$46-$AB$44)+
                                                                         ($M$27*$B66*365*24/1000*(1-$J$2)^(AU64-$N65))*($AK$46-$AB$44)+
                                                                                ($N$27*$B66*365*24/1000*(1-$J$2)^(AU64-$O65))*($AL$46-$AB$44)+
                                                                                        ($O$27*$B66*365*24/1000*(1-$J$2)^(AU64-$P65))*($AM$46-$AB$44)+
                                                                                            ($P$27*$B66*365*24/1000*(1-$J$2)^(AU64-$Q65))*($AN$46-$AB$44)+
                                                                                                 ($Q$27*$B66*365*24/1000*(1-$J$2)^(AU64-$R65))*($AO$46-$AB$44)</f>
        <v>31.630732272250775</v>
      </c>
      <c r="AV65" s="243">
        <f xml:space="preserve">                ($I$27*$B66*365*24/1000*(1-$J$2)^(AV64-$J65))*($AG$46-$AB$44)/2+
                                   ($J$27*$B66*365*24/1000*(1-$J$2)^(AV64-$K65))*($AH$46-$AB$44)+
                                                        ($K$27*$B66*365*24/1000*(1-$J$2)^(AV64-$L65))*($AI$46-$AB$44)+
                                                                 ($L$27*$B66*365*24/1000*(1-$J$2)^(AV64-$M65))*($AJ$46-$AB$44)+
                                                                         ($M$27*$B66*365*24/1000*(1-$J$2)^(AV64-$N65))*($AK$46-$AB$44)+
                                                                                ($N$27*$B66*365*24/1000*(1-$J$2)^(AV64-$O65))*($AL$46-$AB$44)+
                                                                                        ($O$27*$B66*365*24/1000*(1-$J$2)^(AV64-$P65))*($AM$46-$AB$44)+
                                                                                            ($P$27*$B66*365*24/1000*(1-$J$2)^(AV64-$Q65))*($AN$46-$AB$44)+
                                                                                                 ($Q$27*$B66*365*24/1000*(1-$J$2)^(AV64-$R65))*($AO$46-$AB$44)</f>
        <v>28.26057327865438</v>
      </c>
      <c r="AW65" s="243">
        <f xml:space="preserve">                                          ($J$27*$B66*365*24/1000*(1-$J$2)^(AW64-$K65))*($AH$46-$AB$44)/2+
                                                        ($K$27*$B66*365*24/1000*(1-$J$2)^(AW64-$L65))*($AI$46-$AB$44)+
                                                                 ($L$27*$B66*365*24/1000*(1-$J$2)^(AW64-$M65))*($AJ$46-$AB$44)+
                                                                         ($M$27*$B66*365*24/1000*(1-$J$2)^(AW64-$N65))*($AK$46-$AB$44)+
                                                                                ($N$27*$B66*365*24/1000*(1-$J$2)^(AW64-$O65))*($AL$46-$AB$44)+
                                                                                        ($O$27*$B66*365*24/1000*(1-$J$2)^(AW64-$P65))*($AM$46-$AB$44)+
                                                                                            ($P$27*$B66*365*24/1000*(1-$J$2)^(AW64-$Q65))*($AN$46-$AB$44)+
                                                                                                 ($Q$27*$B66*365*24/1000*(1-$J$2)^(AW64-$R65))*($AO$46-$AB$44)</f>
        <v>23.874241705529482</v>
      </c>
      <c r="AX65" s="243">
        <f xml:space="preserve">                                                                                                ($K$27*$B66*365*24/1000*(1-$J$2)^(AX64-$L65))*($AI$46-$AB$44)/2+
                                                                 ($L$27*$B66*365*24/1000*(1-$J$2)^(AX64-$M65))*($AJ$46-$AB$44)+
                                                                         ($M$27*$B66*365*24/1000*(1-$J$2)^(AX64-$N65))*($AK$46-$AB$44)+
                                                                                ($N$27*$B66*365*24/1000*(1-$J$2)^(AX64-$O65))*($AL$46-$AB$44)+
                                                                                        ($O$27*$B66*365*24/1000*(1-$J$2)^(AX64-$P65))*($AM$46-$AB$44)+
                                                                                            ($P$27*$B66*365*24/1000*(1-$J$2)^(AX64-$Q65))*($AN$46-$AB$44)+
                                                                                                 ($Q$27*$B66*365*24/1000*(1-$J$2)^(AX64-$R65))*($AO$46-$AB$44)</f>
        <v>19.588614200225202</v>
      </c>
      <c r="AY65" s="243">
        <f xml:space="preserve">                                                                                                                                                              ($L$27*$B66*365*24/1000*(1-$J$2)^(AY64-$M65))*($AJ$46-$AB$44)/2+
                                                                         ($M$27*$B66*365*24/1000*(1-$J$2)^(AY64-$N65))*($AK$46-$AB$44)+
                                                                                ($N$27*$B66*365*24/1000*(1-$J$2)^(AY64-$O65))*($AL$46-$AB$44)+
                                                                                        ($O$27*$B66*365*24/1000*(1-$J$2)^(AY64-$P65))*($AM$46-$AB$44)+
                                                                                            ($P$27*$B66*365*24/1000*(1-$J$2)^(AY64-$Q65))*($AN$46-$AB$44)+
                                                                                                 ($Q$27*$B66*365*24/1000*(1-$J$2)^(AY64-$R65))*($AO$46-$AB$44)</f>
        <v>15.200666175705997</v>
      </c>
      <c r="AZ65" s="243">
        <f xml:space="preserve">                                                           ($M$27*$B66*365*24/1000*(1-$J$2)^(AZ64-$N65))*($AK$46-$AB$44)/2+
                                                                                ($N$27*$B66*365*24/1000*(1-$J$2)^(AZ64-$O65))*($AL$46-$AB$44)+
                                                                                        ($O$27*$B66*365*24/1000*(1-$J$2)^(AZ64-$P65))*($AM$46-$AB$44)+
                                                                                            ($P$27*$B66*365*24/1000*(1-$J$2)^(AZ64-$Q65))*($AN$46-$AB$44)+
                                                                                                 ($Q$27*$B66*365*24/1000*(1-$J$2)^(AZ64-$R65))*($AO$46-$AB$44)</f>
        <v>10.627357807663579</v>
      </c>
      <c r="BA65" s="243">
        <f xml:space="preserve">                                                                                                                                       ($N$27*$B66*365*24/1000*(1-$J$2)^(BA64-$O65))*($AL$46-$AB$44)/2+
                                                                                        ($O$27*$B66*365*24/1000*(1-$J$2)^(BA64-$P65))*($AM$46-$AB$44)+
                                                                                            ($P$27*$B66*365*24/1000*(1-$J$2)^(BA64-$Q65))*($AN$46-$AB$44)+
                                                                                                 ($Q$27*$B66*365*24/1000*(1-$J$2)^(BA64-$R65))*($AO$46-$AB$44)</f>
        <v>5.5496357455699776</v>
      </c>
      <c r="BB65" s="243">
        <f xml:space="preserve">
                                                                                        ($O$27*$B66*365*24/1000*(1-$J$2)^(BB64-$P65))*($AM$46-$AB$44)/2+
                                                                                            ($P$27*$B66*365*24/1000*(1-$J$2)^(BB64-$Q65))*($AN$46-$AB$44)+
                                                                                                 ($Q$27*$B66*365*24/1000*(1-$J$2)^(BB64-$R65))*($AO$46-$AB$44)</f>
        <v>1.3832341853301293</v>
      </c>
      <c r="BC65" s="243">
        <f xml:space="preserve">
                                                                                            ($P$27*$B66*365*24/1000*(1-$J$2)^(BC64-$Q65))*($AN$46-$AB$44)/2+
                                                                                                 ($Q$27*$B66*365*24/1000*(1-$J$2)^(BC64-$R65))*($AO$46-$AB$44)</f>
        <v>0</v>
      </c>
      <c r="BD65" s="243">
        <f xml:space="preserve">               ($Q$27*$B66*365*24/1000*(1-$J$2)^(BD64-$R65))*($AO$46-$AB$44)/2</f>
        <v>0</v>
      </c>
      <c r="BE65" s="243"/>
      <c r="BF65" s="239">
        <f>SUM(AA65:BE65)</f>
        <v>679.55782426116912</v>
      </c>
    </row>
    <row r="66" spans="2:58" ht="15">
      <c r="B66" s="107">
        <f>B56</f>
        <v>0.13700000000000001</v>
      </c>
      <c r="C66" s="33" t="s">
        <v>384</v>
      </c>
      <c r="D66" s="180"/>
      <c r="E66" s="180"/>
      <c r="F66" s="180"/>
      <c r="G66" s="180"/>
      <c r="H66" s="180"/>
      <c r="I66" s="169">
        <f>($I$37*$B66*365*24/1000*(1-$J$2)^(I65-$I$65))/2</f>
        <v>30.003</v>
      </c>
      <c r="J66" s="169">
        <f>$H$27*$B66*365*24/1000*(1-$J$2)^(J65-$I$65)+
                 ($I$27*$B66*365*24/1000*(1-$J$2)^(J65-$J65))/2</f>
        <v>122.652264</v>
      </c>
      <c r="K66" s="169">
        <f>$H$27*$B66*365*24/1000*(1-$J$2)^(K65-$I$65)+
                 ($I$27*$B66*365*24/1000*(1-$J$2)^(K65-$J65))+
                                   ($J$27*$B66*365*24/1000*(1-$J$2)^(K65-$K65))/2</f>
        <v>250.55121261599999</v>
      </c>
      <c r="L66" s="169">
        <f>$H$27*$B66*365*24/1000*(1-$J$2)^(L65-$I$65)+
                 ($I$27*$B66*365*24/1000*(1-$J$2)^(L65-$J65))+
                                   ($J$27*$B66*365*24/1000*(1-$J$2)^(L65-$K65))+
                                                        ($K$27*$B66*365*24/1000*(1-$J$2)^(L65-$L65))/2</f>
        <v>380.66506574030399</v>
      </c>
      <c r="M66" s="169">
        <f>$H$27*$B66*365*24/1000*(1-$J$2)^(M65-$I$65)+
                 ($I$27*$B66*365*24/1000*(1-$J$2)^(M65-$J65))+
                                   ($J$27*$B66*365*24/1000*(1-$J$2)^(M65-$K65))+
                                                        ($K$27*$B66*365*24/1000*(1-$J$2)^(M65-$L65))+
                                                                 ($L$27*$B66*365*24/1000*(1-$J$2)^(M65-$M65))/2</f>
        <v>528.00003574586231</v>
      </c>
      <c r="N66" s="169">
        <f>$H$27*$B66*365*24/1000*(1-$J$2)^(N65-$I$65)+
                 ($I$27*$B66*365*24/1000*(1-$J$2)^(N65-$J65))+
                                   ($J$27*$B66*365*24/1000*(1-$J$2)^(N65-$K65))+
                                                        ($K$27*$B66*365*24/1000*(1-$J$2)^(N65-$L65))+
                                                                 ($L$27*$B66*365*24/1000*(1-$J$2)^(N65-$M65))+
                                                                         ($M$27*$B66*365*24/1000*(1-$J$2)^(N65-$N65))/2</f>
        <v>710.34658513138709</v>
      </c>
      <c r="O66" s="169">
        <f>$H$27*$B66*365*24/1000*(1-$J$2)^(O65-$I$65)+
                 ($I$27*$B66*365*24/1000*(1-$J$2)^(O65-$J65))+
                                   ($J$27*$B66*365*24/1000*(1-$J$2)^(O65-$K65))+
                                                        ($K$27*$B66*365*24/1000*(1-$J$2)^(O65-$L65))+
                                                                 ($L$27*$B66*365*24/1000*(1-$J$2)^(O65-$M65))+
                                                                         ($M$27*$B66*365*24/1000*(1-$J$2)^(O65-$N65))+
                                                                                ($N$27*$B66*365*24/1000*(1-$J$2)^(O65-$O65))/2</f>
        <v>963.49824442059867</v>
      </c>
      <c r="P66" s="169">
        <f>$H$27*$B66*365*24/1000*(1-$J$2)^(P65-$I$65)+
                 ($I$27*$B66*365*24/1000*(1-$J$2)^(P65-$J65))+
                                   ($J$27*$B66*365*24/1000*(1-$J$2)^(P65-$K65))+
                                                        ($K$27*$B66*365*24/1000*(1-$J$2)^(P65-$L65))+
                                                                 ($L$27*$B66*365*24/1000*(1-$J$2)^(P65-$M65))+
                                                                         ($M$27*$B66*365*24/1000*(1-$J$2)^(P65-$N65))+
                                                                                ($N$27*$B66*365*24/1000*(1-$J$2)^(P65-$O65))+
                                                                                        ($O$27*$B66*365*24/1000*(1-$J$2)^(P65-$P65))/2</f>
        <v>1268.8123613540752</v>
      </c>
      <c r="Q66" s="169">
        <f>$H$27*$B66*365*24/1000*(1-$J$2)^(Q65-$I$65)+
                 ($I$27*$B66*365*24/1000*(1-$J$2)^(Q65-$J65))+
                                   ($J$27*$B66*365*24/1000*(1-$J$2)^(Q65-$K65))+
                                                        ($K$27*$B66*365*24/1000*(1-$J$2)^(Q65-$L65))+
                                                                 ($L$27*$B66*365*24/1000*(1-$J$2)^(Q65-$M65))+
                                                                         ($M$27*$B66*365*24/1000*(1-$J$2)^(Q65-$N65))+
                                                                                ($N$27*$B66*365*24/1000*(1-$J$2)^(Q65-$O65))+
                                                                                        ($O$27*$B66*365*24/1000*(1-$J$2)^(Q65-$P65))+
                                                                                            ($P$27*$B66*365*24/1000*(1-$J$2)^(Q65-$Q65))/2</f>
        <v>1572.2945935859507</v>
      </c>
      <c r="R66" s="169">
        <f>$H$27*$B66*365*24/1000*(1-$J$2)^(R65-$I$65)+
                 ($I$27*$B66*365*24/1000*(1-$J$2)^(R65-$J65))+
                                   ($J$27*$B66*365*24/1000*(1-$J$2)^(R65-$K65))+
                                                        ($K$27*$B66*365*24/1000*(1-$J$2)^(R65-$L65))+
                                                                 ($L$27*$B66*365*24/1000*(1-$J$2)^(R65-$M65))+
                                                                         ($M$27*$B66*365*24/1000*(1-$J$2)^(R65-$N65))+
                                                                                ($N$27*$B66*365*24/1000*(1-$J$2)^(R65-$O65))+
                                                                                        ($O$27*$B66*365*24/1000*(1-$J$2)^(R65-$P65))+
                                                                                            ($P$27*$B66*365*24/1000*(1-$J$2)^(R65-$Q65))+
                                                                                                 ($Q$27*$B66*365*24/1000*(1-$J$2)^(R65-$R65))/2</f>
        <v>1873.9559324244351</v>
      </c>
      <c r="S66" s="169">
        <f>$H$27*$B66*365*24/1000*(1-$J$2)^(S65-$I$65)+
                 ($I$27*$B66*365*24/1000*(1-$J$2)^(S65-$J65))+
                                   ($J$27*$B66*365*24/1000*(1-$J$2)^(S65-$K65))+
                                                        ($K$27*$B66*365*24/1000*(1-$J$2)^(S65-$L65))+
                                                                 ($L$27*$B66*365*24/1000*(1-$J$2)^(S65-$M65))+
                                                                         ($M$27*$B66*365*24/1000*(1-$J$2)^(S65-$N65))+
                                                                                ($N$27*$B66*365*24/1000*(1-$J$2)^(S65-$O65))+
                                                                                        ($O$27*$B66*365*24/1000*(1-$J$2)^(S65-$P65))+
                                                                                            ($P$27*$B66*365*24/1000*(1-$J$2)^(S65-$Q65))+
                                                                                                 ($Q$27*$B66*365*24/1000*(1-$J$2)^(S65-$R65))+
                                                                                                     ($R$27*$B66*365*24/1000*(1-$J$2)^(S65-$S65))/2</f>
        <v>2017.7917032298885</v>
      </c>
      <c r="T66" s="169">
        <f>$H$27*$B66*365*24/1000*(1-$J$2)^(T65-$I$65)+
                 ($I$27*$B66*365*24/1000*(1-$J$2)^(T65-$J65))+
                                   ($J$27*$B66*365*24/1000*(1-$J$2)^(T65-$K65))+
                                                        ($K$27*$B66*365*24/1000*(1-$J$2)^(T65-$L65))+
                                                                 ($L$27*$B66*365*24/1000*(1-$J$2)^(T65-$M65))+
                                                                         ($M$27*$B66*365*24/1000*(1-$J$2)^(T65-$N65))+
                                                                                ($N$27*$B66*365*24/1000*(1-$J$2)^(T65-$O65))+
                                                                                        ($O$27*$B66*365*24/1000*(1-$J$2)^(T65-$P65))+
                                                                                            ($P$27*$B66*365*24/1000*(1-$J$2)^(T65-$Q65))+
                                                                                                 ($Q$27*$B66*365*24/1000*(1-$J$2)^(T65-$R65))+
                                                                                                     ($R$27*$B66*365*24/1000*(1-$J$2)^(T65-$S65))+
                                                                                                          ($S$27*$B66*365*24/1000*(1-$J$2)^(T65-$T65))/2</f>
        <v>2005.6849530105094</v>
      </c>
      <c r="U66" s="169">
        <f>$H$27*$B66*365*24/1000*(1-$J$2)^(U65-$I$65)+
                 ($I$27*$B66*365*24/1000*(1-$J$2)^(U65-$J65))+
                                   ($J$27*$B66*365*24/1000*(1-$J$2)^(U65-$K65))+
                                                        ($K$27*$B66*365*24/1000*(1-$J$2)^(U65-$L65))+
                                                                 ($L$27*$B66*365*24/1000*(1-$J$2)^(U65-$M65))+
                                                                         ($M$27*$B66*365*24/1000*(1-$J$2)^(U65-$N65))+
                                                                                ($N$27*$B66*365*24/1000*(1-$J$2)^(U65-$O65))+
                                                                                        ($O$27*$B66*365*24/1000*(1-$J$2)^(U65-$P65))+
                                                                                            ($P$27*$B66*365*24/1000*(1-$J$2)^(U65-$Q65))+
                                                                                                 ($Q$27*$B66*365*24/1000*(1-$J$2)^(U65-$R65))+
                                                                                                     ($R$27*$B66*365*24/1000*(1-$J$2)^(U65-$S65))+
                                                                                                          ($S$27*$B66*365*24/1000*(1-$J$2)^(U65-$T65))+
                                                                                                               ($T$27*$B66*365*24/1000*(1-$J$2)^(U65-$U65))/2</f>
        <v>1993.6508432924463</v>
      </c>
      <c r="V66" s="169">
        <f>$H$27*$B66*365*24/1000*(1-$J$2)^(V65-$I$65)+
                 ($I$27*$B66*365*24/1000*(1-$J$2)^(V65-$J65))+
                                   ($J$27*$B66*365*24/1000*(1-$J$2)^(V65-$K65))+
                                                        ($K$27*$B66*365*24/1000*(1-$J$2)^(V65-$L65))+
                                                                 ($L$27*$B66*365*24/1000*(1-$J$2)^(V65-$M65))+
                                                                         ($M$27*$B66*365*24/1000*(1-$J$2)^(V65-$N65))+
                                                                                ($N$27*$B66*365*24/1000*(1-$J$2)^(V65-$O65))+
                                                                                        ($O$27*$B66*365*24/1000*(1-$J$2)^(V65-$P65))+
                                                                                            ($P$27*$B66*365*24/1000*(1-$J$2)^(V65-$Q65))+
                                                                                                 ($Q$27*$B66*365*24/1000*(1-$J$2)^(V65-$R65))+
                                                                                                     ($R$27*$B66*365*24/1000*(1-$J$2)^(V65-$S65))+
                                                                                                          ($S$27*$B66*365*24/1000*(1-$J$2)^(V65-$T65))+
                                                                                                               ($T$27*$B66*365*24/1000*(1-$J$2)^(V65-$U65))+
                                                                                                                     ($U$27*$B66*365*24/1000*(1-$J$2)^(V65-$V65))/2</f>
        <v>1981.6889382326917</v>
      </c>
      <c r="W66" s="169">
        <f>$H$27*$B66*365*24/1000*(1-$J$2)^(W65-$I$65)+
                 ($I$27*$B66*365*24/1000*(1-$J$2)^(W65-$J65))+
                                   ($J$27*$B66*365*24/1000*(1-$J$2)^(W65-$K65))+
                                                        ($K$27*$B66*365*24/1000*(1-$J$2)^(W65-$L65))+
                                                                 ($L$27*$B66*365*24/1000*(1-$J$2)^(W65-$M65))+
                                                                         ($M$27*$B66*365*24/1000*(1-$J$2)^(W65-$N65))+
                                                                                ($N$27*$B66*365*24/1000*(1-$J$2)^(W65-$O65))+
                                                                                        ($O$27*$B66*365*24/1000*(1-$J$2)^(W65-$P65))+
                                                                                            ($P$27*$B66*365*24/1000*(1-$J$2)^(W65-$Q65))+
                                                                                                 ($Q$27*$B66*365*24/1000*(1-$J$2)^(W65-$R65))+
                                                                                                     ($R$27*$B66*365*24/1000*(1-$J$2)^(W65-$S65))+
                                                                                                          ($S$27*$B66*365*24/1000*(1-$J$2)^(W65-$T65))+
                                                                                                               ($T$27*$B66*365*24/1000*(1-$J$2)^(W65-$U65))+
                                                                                                                     ($U$27*$B66*365*24/1000*(1-$J$2)^(W65-$V65))+
                                                                                                                            ($V$27*$B66*365*24/1000*(1-$J$2)^(W65-$W65))/2</f>
        <v>1969.7988046032956</v>
      </c>
      <c r="Z66" s="33" t="s">
        <v>54</v>
      </c>
      <c r="AA66" s="243"/>
      <c r="AB66" s="243">
        <f>$H$28*$B67*365*24/1000/2*(AF47-AB44)</f>
        <v>3.2411999999999996</v>
      </c>
      <c r="AC66" s="243">
        <f>$H$28*$B67*365*24/1000*(AG47-AB44)+
     $I$28*$B67*365*24/1000/2*(AH47-AB44)</f>
        <v>15.557759999999998</v>
      </c>
      <c r="AD66" s="243">
        <f>$H$28*$B67*365*24/1000*(AF47-AB44)+
     $I$28*$B67*365*24/1000*(AG47-AB44)+
         $J$28*$B67*365*24/1000/2*(AH47-AB44)</f>
        <v>37.759979999999992</v>
      </c>
      <c r="AE66" s="243">
        <f>$H$28*$B68*365*24/1000*($AF$47-$AB$44)+
     $I$28*$B68*365*24/1000*($AG$47-$AB$44)+
         $J$28*$B68*365*24/1000*($AH$47-$AB$44)+
            $K$28*$B68*365*24/1000*($AI$47-$AB$44)/2</f>
        <v>75.950951999999987</v>
      </c>
      <c r="AF66" s="243">
        <f>$H$28*$B68*365*24/1000*($AF$47-$AB$44)+
     $I$28*$B68*365*24/1000*($AG$47-$AB$44)+
         $J$28*$B68*365*24/1000*($AH$47-$AB$44)+
            $K$28*$B68*365*24/1000*($AI$47-$AB$44)+
                  $L$28*$B68*365*24/1000*($AJ$47-$AB$44)/2</f>
        <v>110.39001599999997</v>
      </c>
      <c r="AG66" s="243">
        <f>$H$28*$B68*365*24/1000*($AF$47-$AB$44)+
     $I$28*$B68*365*24/1000*($AG$47-$AB$44)+
         $J$28*$B68*365*24/1000*($AH$47-$AB$44)+
            $K$28*$B68*365*24/1000*($AI$47-$AB$44)+
                  $L$28*$B68*365*24/1000*($AJ$47-$AB$44)+
                     $M$28*$B68*365*24/1000*($AK$47-$AB$44)/2</f>
        <v>144.61708799999997</v>
      </c>
      <c r="AH66" s="243">
        <f>$H$28*$B68*365*24/1000*($AF$47-$AB$44)+
     $I$28*$B68*365*24/1000*($AG$47-$AB$44)+
         $J$28*$B68*365*24/1000*($AH$47-$AB$44)+
            $K$28*$B68*365*24/1000*($AI$47-$AB$44)+
                  $L$28*$B68*365*24/1000*($AJ$47-$AB$44)+
                     $M$28*$B68*365*24/1000*($AK$47-$AB$44)+
                             $N$28*$B68*365*24/1000*($AL$47-$AB$44)/2</f>
        <v>177.01331999999996</v>
      </c>
      <c r="AI66" s="243">
        <f>$H$28*$B68*365*24/1000*($AF$47-$AB$44)+
     $I$28*$B68*365*24/1000*($AG$47-$AB$44)+
         $J$28*$B68*365*24/1000*($AH$47-$AB$44)+
            $K$28*$B68*365*24/1000*($AI$47-$AB$44)+
                  $L$28*$B68*365*24/1000*($AJ$47-$AB$44)+
                     $M$28*$B68*365*24/1000*($AK$47-$AB$44)+
                             $N$28*$B68*365*24/1000*($AL$47-$AB$44)+
                                    $O$28*$B68*365*24/1000*($AM$47-$AB$44)/2</f>
        <v>208.86993599999997</v>
      </c>
      <c r="AJ66" s="243">
        <f>$H$28*$B68*365*24/1000*($AF$47-$AB$44)+
     $I$28*$B68*365*24/1000*($AG$47-$AB$44)+
         $J$28*$B68*365*24/1000*($AH$47-$AB$44)+
            $K$28*$B68*365*24/1000*($AI$47-$AB$44)+
                  $L$28*$B68*365*24/1000*($AJ$47-$AB$44)+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$P$28*$B68*365*24/1000*($AN$47-$AB$44)/2</f>
        <v>239.60877599999998</v>
      </c>
      <c r="AK66" s="243">
        <f>$H$28*$B68*365*24/1000*($AF$47-$AB$44)+
     $I$28*$B68*365*24/1000*($AG$47-$AB$44)+
         $J$28*$B68*365*24/1000*($AH$47-$AB$44)+
            $K$28*$B68*365*24/1000*($AI$47-$AB$44)+
                  $L$28*$B68*365*24/1000*($AJ$47-$AB$44)+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$Q$28*$B68*365*24/1000*($AO$47-$AB$44)/2</f>
        <v>269.22983999999997</v>
      </c>
      <c r="AL66" s="243">
        <f>$H$28*$B68*365*24/1000*($AF$47-$AB$44)+
     $I$28*$B68*365*24/1000*($AG$47-$AB$44)+
         $J$28*$B68*365*24/1000*($AH$47-$AB$44)+
            $K$28*$B68*365*24/1000*($AI$47-$AB$44)+
                  $L$28*$B68*365*24/1000*($AJ$47-$AB$44)+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</f>
        <v>283.76092799999998</v>
      </c>
      <c r="AM66" s="243">
        <f t="shared" ref="AM66:AU66" si="38">$H$28*$B68*365*24/1000*($AF$47-$AB$44)+
     $I$28*$B68*365*24/1000*($AG$47-$AB$44)+
         $J$28*$B68*365*24/1000*($AH$47-$AB$44)+
            $K$28*$B68*365*24/1000*($AI$47-$AB$44)+
                  $L$28*$B68*365*24/1000*($AJ$47-$AB$44)+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</f>
        <v>283.76092799999998</v>
      </c>
      <c r="AN66" s="243">
        <f t="shared" si="38"/>
        <v>283.76092799999998</v>
      </c>
      <c r="AO66" s="243">
        <f t="shared" si="38"/>
        <v>283.76092799999998</v>
      </c>
      <c r="AP66" s="243">
        <f t="shared" si="38"/>
        <v>283.76092799999998</v>
      </c>
      <c r="AQ66" s="243">
        <f t="shared" si="38"/>
        <v>283.76092799999998</v>
      </c>
      <c r="AR66" s="243">
        <f t="shared" si="38"/>
        <v>283.76092799999998</v>
      </c>
      <c r="AS66" s="243">
        <f t="shared" si="38"/>
        <v>283.76092799999998</v>
      </c>
      <c r="AT66" s="243">
        <f t="shared" si="38"/>
        <v>283.76092799999998</v>
      </c>
      <c r="AU66" s="243">
        <f t="shared" si="38"/>
        <v>283.76092799999998</v>
      </c>
      <c r="AV66" s="243">
        <f>$H$28*$B68*365*24/1000*($AF$47-$AB$44)/2+
     $I$28*$B68*365*24/1000*($AG$47-$AB$44)+
         $J$28*$B68*365*24/1000*($AH$47-$AB$44)+
            $K$28*$B68*365*24/1000*($AI$47-$AB$44)+
                  $L$28*$B68*365*24/1000*($AJ$47-$AB$44)+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</f>
        <v>279.90652799999998</v>
      </c>
      <c r="AW66" s="243">
        <f xml:space="preserve">     $I$28*$B68*365*24/1000*($AG$47-$AB$44)/2+
         $J$28*$B68*365*24/1000*($AH$47-$AB$44)+
            $K$28*$B68*365*24/1000*($AI$47-$AB$44)+
                  $L$28*$B68*365*24/1000*($AJ$47-$AB$44)+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</f>
        <v>264.77800799999994</v>
      </c>
      <c r="AX66" s="243">
        <f xml:space="preserve">
         $J$28*$B68*365*24/1000*($AH$47-$AB$44)/2+
            $K$28*$B68*365*24/1000*($AI$47-$AB$44)+
                  $L$28*$B68*365*24/1000*($AJ$47-$AB$44)+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</f>
        <v>238.85716799999994</v>
      </c>
      <c r="AY66" s="243">
        <f xml:space="preserve">
            $K$28*$B68*365*24/1000*($AI$47-$AB$44)/2+
                  $L$28*$B68*365*24/1000*($AJ$47-$AB$44)+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</f>
        <v>207.80997599999995</v>
      </c>
      <c r="AZ66" s="243">
        <f xml:space="preserve">
                  $L$28*$B68*365*24/1000*($AJ$47-$AB$44)/2+
                     $M$28*$B68*365*24/1000*($AK$47-$AB$44)+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</f>
        <v>173.37091199999998</v>
      </c>
      <c r="BA66" s="243">
        <f xml:space="preserve">
                     $M$28*$B68*365*24/1000*($AK$47-$AB$44)/2+
                             $N$28*$B68*365*24/1000*($AL$47-$AB$44)+
                                    $O$28*$B68*365*24/1000*($AM$47-$AB$44)+
                                              $P$28*$B68*365*24/1000*($AN$47-$AB$44)+
                                                       $Q$28*$B68*365*24/1000*($AO$47-$AB$44)</f>
        <v>139.14384000000001</v>
      </c>
      <c r="BB66" s="243">
        <f xml:space="preserve">
                             $N$28*$B68*365*24/1000*($AL$47-$AB$44)/2+
                                    $O$28*$B68*365*24/1000*($AM$47-$AB$44)+
                                              $P$28*$B68*365*24/1000*($AN$47-$AB$44)+
                                                       $Q$28*$B68*365*24/1000*($AO$47-$AB$44)</f>
        <v>106.74760799999999</v>
      </c>
      <c r="BC66" s="243">
        <f xml:space="preserve">
                                    $O$28*$B68*365*24/1000*($AM$47-$AB$44)/2+
                                              $P$28*$B68*365*24/1000*($AN$47-$AB$44)+
                                                       $Q$28*$B68*365*24/1000*($AO$47-$AB$44)</f>
        <v>74.890991999999997</v>
      </c>
      <c r="BD66" s="243">
        <f xml:space="preserve">
                                                                            $P$28*$B68*365*24/1000*($AN$47-$AB$44)/2+
                                                       $Q$28*$B68*365*24/1000*($AO$47-$AB$44)</f>
        <v>44.152151999999994</v>
      </c>
      <c r="BE66" s="243">
        <f xml:space="preserve">
                                                       $Q$28*$B68*365*24/1000*($AO$47-$AB$44)/2</f>
        <v>14.531087999999999</v>
      </c>
      <c r="BF66" s="239">
        <f t="shared" ref="BF66:BF70" si="39">SUM(AA66:BE66)</f>
        <v>5664.0364199999985</v>
      </c>
    </row>
    <row r="67" spans="2:58" ht="15">
      <c r="B67" s="107">
        <f>B58</f>
        <v>0.37</v>
      </c>
      <c r="C67" s="33" t="s">
        <v>54</v>
      </c>
      <c r="D67" s="180"/>
      <c r="E67" s="180"/>
      <c r="F67" s="180"/>
      <c r="G67" s="180"/>
      <c r="H67" s="180"/>
      <c r="I67" s="181"/>
      <c r="J67" s="169">
        <f>$H$28*$B67*365*24/1000/2</f>
        <v>81.03</v>
      </c>
      <c r="K67" s="169">
        <f>$H$28*$B67*365*24/1000+
     $I$28*$B67*365*24/1000/2</f>
        <v>405.15</v>
      </c>
      <c r="L67" s="169">
        <f>$H$28*$B67*365*24/1000+
     $I$28*$B67*365*24/1000+
         $J$28*$B67*365*24/1000/2</f>
        <v>972.36</v>
      </c>
      <c r="M67" s="169">
        <f>$H$28*$B67*365*24/1000+
     $I$28*$B67*365*24/1000+
         $J$28*$B67*365*24/1000+
            $K$28*$B67*365*24/1000/2</f>
        <v>1669.2179999999998</v>
      </c>
      <c r="N67" s="169">
        <f>$H$28*$B67*365*24/1000+
     $I$28*$B67*365*24/1000+
         $J$28*$B67*365*24/1000+
            $K$28*$B67*365*24/1000+
                  $L$28*$B67*365*24/1000/2</f>
        <v>2463.3119999999999</v>
      </c>
      <c r="O67" s="169">
        <f>$H$28*$B67*365*24/1000+
     $I$28*$B67*365*24/1000+
         $J$28*$B67*365*24/1000+
            $K$28*$B67*365*24/1000+
                  $L$28*$B67*365*24/1000+
                     $M$28*$B67*365*24/1000/2</f>
        <v>3338.4359999999997</v>
      </c>
      <c r="P67" s="169">
        <f>$H$28*$B67*365*24/1000+
     $I$28*$B67*365*24/1000+
         $J$28*$B67*365*24/1000+
            $K$28*$B67*365*24/1000+
                  $L$28*$B67*365*24/1000+
                     $M$28*$B67*365*24/1000+
                             $N$28*$B67*365*24/1000/2</f>
        <v>4262.1779999999999</v>
      </c>
      <c r="Q67" s="169">
        <f>$H$28*$B67*365*24/1000+
     $I$28*$B67*365*24/1000+
         $J$28*$B67*365*24/1000+
            $K$28*$B67*365*24/1000+
                  $L$28*$B67*365*24/1000+
                     $M$28*$B67*365*24/1000+
                             $N$28*$B67*365*24/1000+
                                    $O$28*$B67*365*24/1000/2</f>
        <v>5202.1260000000002</v>
      </c>
      <c r="R67" s="169">
        <f>$H$28*$B67*365*24/1000+
     $I$28*$B67*365*24/1000+
         $J$28*$B67*365*24/1000+
            $K$28*$B67*365*24/1000+
                  $L$28*$B67*365*24/1000+
                     $M$28*$B67*365*24/1000+
                             $N$28*$B67*365*24/1000+
                                    $O$28*$B67*365*24/1000+
                                              $P$28*$B67*365*24/1000/2</f>
        <v>6142.0740000000005</v>
      </c>
      <c r="S67" s="169">
        <f>$H$28*$B67*365*24/1000+
     $I$28*$B67*365*24/1000+
         $J$28*$B67*365*24/1000+
            $K$28*$B67*365*24/1000+
                  $L$28*$B67*365*24/1000+
                     $M$28*$B67*365*24/1000+
                             $N$28*$B67*365*24/1000+
                                    $O$28*$B67*365*24/1000+
                                              $P$28*$B67*365*24/1000+
                                                       $Q$28*$B67*365*24/1000/2</f>
        <v>7082.0220000000008</v>
      </c>
      <c r="T67" s="169">
        <f>$H$28*$B67*365*24/1000+
     $I$28*$B67*365*24/1000+
         $J$28*$B67*365*24/1000+
            $K$28*$B67*365*24/1000+
                  $L$28*$B67*365*24/1000+
                     $M$28*$B67*365*24/1000+
                             $N$28*$B67*365*24/1000+
                                    $O$28*$B67*365*24/1000+
                                              $P$28*$B67*365*24/1000+
                                                       $Q$28*$B67*365*24/1000+
                                                                 $R$28*$B67*365*24/1000/2</f>
        <v>7551.996000000001</v>
      </c>
      <c r="U67" s="169">
        <f>$H$28*$B67*365*24/1000+
     $I$28*$B67*365*24/1000+
         $J$28*$B67*365*24/1000+
            $K$28*$B67*365*24/1000+
                  $L$28*$B67*365*24/1000+
                     $M$28*$B67*365*24/1000+
                             $N$28*$B67*365*24/1000+
                                    $O$28*$B67*365*24/1000+
                                              $P$28*$B67*365*24/1000+
                                                       $Q$28*$B67*365*24/1000+
                                                                 $R$28*$B67*365*24/1000+
                                                                        $S$28*$B67*365*24/1000/2</f>
        <v>7551.996000000001</v>
      </c>
      <c r="V67" s="169">
        <f>$H$28*$B67*365*24/1000+
     $I$28*$B67*365*24/1000+
         $J$28*$B67*365*24/1000+
            $K$28*$B67*365*24/1000+
                  $L$28*$B67*365*24/1000+
                     $M$28*$B67*365*24/1000+
                             $N$28*$B67*365*24/1000+
                                    $O$28*$B67*365*24/1000+
                                              $P$28*$B67*365*24/1000+
                                                       $Q$28*$B67*365*24/1000+
                                                                 $R$28*$B67*365*24/1000+
                                                                        $S$28*$B67*365*24/1000+
                                                                                  $T$28*$B67*365*24/1000/2</f>
        <v>7551.996000000001</v>
      </c>
      <c r="W67" s="169">
        <f>$H$28*$B67*365*24/1000+
     $I$28*$B67*365*24/1000+
         $J$28*$B67*365*24/1000+
            $K$28*$B67*365*24/1000+
                  $L$28*$B67*365*24/1000+
                     $M$28*$B67*365*24/1000+
                             $N$28*$B67*365*24/1000+
                                    $O$28*$B67*365*24/1000+
                                              $P$28*$B67*365*24/1000+
                                                       $Q$28*$B67*365*24/1000+
                                                                 $R$28*$B67*365*24/1000+
                                                                        $S$28*$B67*365*24/1000+
                                                                                  $T$28*$B67*365*24/1000+
                                                                                                $U$28*$B67*365*24/1000/2</f>
        <v>7551.996000000001</v>
      </c>
      <c r="Z67" s="33" t="s">
        <v>118</v>
      </c>
      <c r="AA67" s="243"/>
      <c r="AB67" s="243">
        <f>$H$29*$B68*365*24/1000*($AF$48-$AB$44)/2</f>
        <v>3.3725999999999998</v>
      </c>
      <c r="AC67" s="243">
        <f>$H$29*$B68*365*24/1000*($AF$48-$AB$44)+
     $I$29*$B68*365*24/1000*($AG$48-$AB$44)/2</f>
        <v>13.394039999999999</v>
      </c>
      <c r="AD67" s="243">
        <f>$H$29*$B68*365*24/1000*($AF$48-$AB$44)+
     $I$29*$B68*365*24/1000*($AG$48-$AB$44)+
         $J$29*$B68*365*24/1000*($AH$48-$AB$44)/2</f>
        <v>26.595359999999996</v>
      </c>
      <c r="AE67" s="243">
        <f>$H$29*$B68*365*24/1000*($AF$48-$AB$44)+
     $I$29*$B68*365*24/1000*($AG$48-$AB$44)+
         $J$29*$B68*365*24/1000*($AH$48-$AB$44)+
            $K$29*$B68*365*24/1000*($AI$48-$AB$44)/2</f>
        <v>39.603959999999994</v>
      </c>
      <c r="AF67" s="243">
        <f>$H$29*$B68*365*24/1000*($AF$48-$AB$44)+
     $I$29*$B68*365*24/1000*($AG$48-$AB$44)+
         $J$29*$B68*365*24/1000*($AH$48-$AB$44)+
            $K$29*$B68*365*24/1000*($AI$48-$AB$44)+
                  $L$29*$B68*365*24/1000*($AJ$48-$AB$44)/2</f>
        <v>52.419840000000001</v>
      </c>
      <c r="AG67" s="243">
        <f>$H$29*$B68*365*24/1000*($AF$48-$AB$44)+
     $I$29*$B68*365*24/1000*($AG$48-$AB$44)+
         $J$29*$B68*365*24/1000*($AH$48-$AB$44)+
            $K$29*$B68*365*24/1000*($AI$48-$AB$44)+
                  $L$29*$B68*365*24/1000*($AJ$48-$AB$44)+
                     $M$29*$B68*365*24/1000*($AK$48-$AB$44)/2</f>
        <v>65.669340000000005</v>
      </c>
      <c r="AH67" s="243">
        <f>$H$29*$B68*365*24/1000*($AF$48-$AB$44)+
     $I$29*$B68*365*24/1000*($AG$48-$AB$44)+
         $J$29*$B68*365*24/1000*($AH$48-$AB$44)+
            $K$29*$B68*365*24/1000*($AI$48-$AB$44)+
                  $L$29*$B68*365*24/1000*($AJ$48-$AB$44)+
                     $M$29*$B68*365*24/1000*($AK$48-$AB$44)+
                             $N$29*$B68*365*24/1000*($AL$48-$AB$44)/2</f>
        <v>79.342823999999993</v>
      </c>
      <c r="AI67" s="243">
        <f>$H$29*$B68*365*24/1000*($AF$48-$AB$44)+
     $I$29*$B68*365*24/1000*($AG$48-$AB$44)+
         $J$29*$B68*365*24/1000*($AH$48-$AB$44)+
            $K$29*$B68*365*24/1000*($AI$48-$AB$44)+
                  $L$29*$B68*365*24/1000*($AJ$48-$AB$44)+
                     $M$29*$B68*365*24/1000*($AK$48-$AB$44)+
                             $N$29*$B68*365*24/1000*($AL$48-$AB$44)+
                                    $O$29*$B68*365*24/1000*($AM$48-$AB$44)/2</f>
        <v>93.411383999999998</v>
      </c>
      <c r="AJ67" s="243">
        <f>$H$29*$B68*365*24/1000*($AF$48-$AB$44)+
     $I$29*$B68*365*24/1000*($AG$48-$AB$44)+
         $J$29*$B68*365*24/1000*($AH$48-$AB$44)+
            $K$29*$B68*365*24/1000*($AI$48-$AB$44)+
                  $L$29*$B68*365*24/1000*($AJ$48-$AB$44)+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$P$29*$B68*365*24/1000*($AN$48-$AB$44)/2</f>
        <v>107.86538399999999</v>
      </c>
      <c r="AK67" s="243">
        <f>$H$29*$B68*365*24/1000*($AF$48-$AB$44)+
     $I$29*$B68*365*24/1000*($AG$48-$AB$44)+
         $J$29*$B68*365*24/1000*($AH$48-$AB$44)+
            $K$29*$B68*365*24/1000*($AI$48-$AB$44)+
                  $L$29*$B68*365*24/1000*($AJ$48-$AB$44)+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$Q$29*$B68*365*24/1000*($AO$48-$AB$44)/2</f>
        <v>122.08811999999999</v>
      </c>
      <c r="AL67" s="243">
        <f>$H$29*$B68*365*24/1000*($AF$48-$AB$44)+
     $I$29*$B68*365*24/1000*($AG$48-$AB$44)+
         $J$29*$B68*365*24/1000*($AH$48-$AB$44)+
            $K$29*$B68*365*24/1000*($AI$48-$AB$44)+
                  $L$29*$B68*365*24/1000*($AJ$48-$AB$44)+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</f>
        <v>129.141672</v>
      </c>
      <c r="AM67" s="243">
        <f t="shared" ref="AM67:AU67" si="40">$H$29*$B68*365*24/1000*($AF$48-$AB$44)+
     $I$29*$B68*365*24/1000*($AG$48-$AB$44)+
         $J$29*$B68*365*24/1000*($AH$48-$AB$44)+
            $K$29*$B68*365*24/1000*($AI$48-$AB$44)+
                  $L$29*$B68*365*24/1000*($AJ$48-$AB$44)+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</f>
        <v>129.141672</v>
      </c>
      <c r="AN67" s="243">
        <f t="shared" si="40"/>
        <v>129.141672</v>
      </c>
      <c r="AO67" s="243">
        <f t="shared" si="40"/>
        <v>129.141672</v>
      </c>
      <c r="AP67" s="243">
        <f t="shared" si="40"/>
        <v>129.141672</v>
      </c>
      <c r="AQ67" s="243">
        <f t="shared" si="40"/>
        <v>129.141672</v>
      </c>
      <c r="AR67" s="243">
        <f t="shared" si="40"/>
        <v>129.141672</v>
      </c>
      <c r="AS67" s="243">
        <f t="shared" si="40"/>
        <v>129.141672</v>
      </c>
      <c r="AT67" s="243">
        <f t="shared" si="40"/>
        <v>129.141672</v>
      </c>
      <c r="AU67" s="243">
        <f t="shared" si="40"/>
        <v>129.141672</v>
      </c>
      <c r="AV67" s="243">
        <f>$H$29*$B68*365*24/1000*($AF$48-$AB$44)/2+
     $I$29*$B68*365*24/1000*($AG$48-$AB$44)+
         $J$29*$B68*365*24/1000*($AH$48-$AB$44)+
            $K$29*$B68*365*24/1000*($AI$48-$AB$44)+
                  $L$29*$B68*365*24/1000*($AJ$48-$AB$44)+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</f>
        <v>125.76907199999999</v>
      </c>
      <c r="AW67" s="243">
        <f xml:space="preserve">
     $I$29*$B68*365*24/1000*($AG$48-$AB$44)/2+
         $J$29*$B68*365*24/1000*($AH$48-$AB$44)+
            $K$29*$B68*365*24/1000*($AI$48-$AB$44)+
                  $L$29*$B68*365*24/1000*($AJ$48-$AB$44)+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</f>
        <v>115.74763200000001</v>
      </c>
      <c r="AX67" s="243">
        <f xml:space="preserve">
         $J$29*$B68*365*24/1000*($AH$48-$AB$44)/2+
            $K$29*$B68*365*24/1000*($AI$48-$AB$44)+
                  $L$29*$B68*365*24/1000*($AJ$48-$AB$44)+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</f>
        <v>102.546312</v>
      </c>
      <c r="AY67" s="243">
        <f xml:space="preserve">
            $K$29*$B68*365*24/1000*($AI$48-$AB$44)/2+
                  $L$29*$B68*365*24/1000*($AJ$48-$AB$44)+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</f>
        <v>89.537711999999999</v>
      </c>
      <c r="AZ67" s="243">
        <f xml:space="preserve">
                  $L$29*$B68*365*24/1000*($AJ$48-$AB$44)/2+
                     $M$29*$B68*365*24/1000*($AK$48-$AB$44)+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</f>
        <v>76.721832000000006</v>
      </c>
      <c r="BA67" s="243">
        <f xml:space="preserve">
                     $M$29*$B68*365*24/1000*($AK$48-$AB$44)/2+
                             $N$29*$B68*365*24/1000*($AL$48-$AB$44)+
                                    $O$29*$B68*365*24/1000*($AM$48-$AB$44)+
                                              $P$29*$B68*365*24/1000*($AN$48-$AB$44)+
                                                       $Q$29*$B68*365*24/1000*($AO$48-$AB$44)</f>
        <v>63.472332000000002</v>
      </c>
      <c r="BB67" s="243">
        <f xml:space="preserve">
                             $N$29*$B68*365*24/1000*($AL$48-$AB$44)/2+
                                    $O$29*$B68*365*24/1000*($AM$48-$AB$44)+
                                              $P$29*$B68*365*24/1000*($AN$48-$AB$44)+
                                                       $Q$29*$B68*365*24/1000*($AO$48-$AB$44)</f>
        <v>49.798848</v>
      </c>
      <c r="BC67" s="243">
        <f xml:space="preserve">
                                    $O$29*$B68*365*24/1000*($AM$48-$AB$44)/2+
                                              $P$29*$B68*365*24/1000*($AN$48-$AB$44)+
                                                       $Q$29*$B68*365*24/1000*($AO$48-$AB$44)</f>
        <v>35.730288000000002</v>
      </c>
      <c r="BD67" s="243">
        <f xml:space="preserve">
                                              $P$29*$B68*365*24/1000*($AN$48-$AB$44)/2+
                                                       $Q$29*$B68*365*24/1000*($AO$48-$AB$44)</f>
        <v>21.276288000000001</v>
      </c>
      <c r="BE67" s="243">
        <f xml:space="preserve">
                                                       $Q$29*$B68*365*24/1000*($AO$48-$AB$44)/2</f>
        <v>7.0535519999999998</v>
      </c>
      <c r="BF67" s="239">
        <f t="shared" si="39"/>
        <v>2582.8334399999994</v>
      </c>
    </row>
    <row r="68" spans="2:58" ht="15">
      <c r="B68" s="107">
        <f>B59</f>
        <v>0.44</v>
      </c>
      <c r="C68" s="33" t="s">
        <v>118</v>
      </c>
      <c r="D68" s="180"/>
      <c r="E68" s="180"/>
      <c r="F68" s="180"/>
      <c r="G68" s="180"/>
      <c r="H68" s="180"/>
      <c r="I68" s="181"/>
      <c r="J68" s="169">
        <f>$H$28*$B68*365*24/1000/2</f>
        <v>96.36</v>
      </c>
      <c r="K68" s="169">
        <f>$H$29*$B68*365*24/1000+
     $I$29*$B68*365*24/1000/2</f>
        <v>192.72</v>
      </c>
      <c r="L68" s="169">
        <f>$H$29*$B68*365*24/1000+
     $I$29*$B68*365*24/1000+
         $J$29*$B68*365*24/1000/2</f>
        <v>385.44</v>
      </c>
      <c r="M68" s="169">
        <f>$H$29*$B68*365*24/1000+
     $I$29*$B68*365*24/1000+
         $J$29*$B68*365*24/1000+
            $K$29*$B68*365*24/1000/2</f>
        <v>578.16</v>
      </c>
      <c r="N68" s="169">
        <f>$H$29*$B68*365*24/1000+
     $I$29*$B68*365*24/1000+
         $J$29*$B68*365*24/1000+
            $K$29*$B68*365*24/1000+
                  $L$29*$B68*365*24/1000/2</f>
        <v>770.88</v>
      </c>
      <c r="O68" s="169">
        <f>$H$29*$B68*365*24/1000+
     $I$29*$B68*365*24/1000+
         $J$29*$B68*365*24/1000+
            $K$29*$B68*365*24/1000+
                  $L$29*$B68*365*24/1000+
                     $M$29*$B68*365*24/1000/2</f>
        <v>973.23599999999999</v>
      </c>
      <c r="P68" s="169">
        <f>$H$29*$B68*365*24/1000+
     $I$29*$B68*365*24/1000+
         $J$29*$B68*365*24/1000+
            $K$29*$B68*365*24/1000+
                  $L$29*$B68*365*24/1000+
                     $M$29*$B68*365*24/1000+
                             $N$29*$B68*365*24/1000/2</f>
        <v>1185.2280000000001</v>
      </c>
      <c r="Q68" s="169">
        <f>$H$29*$B68*365*24/1000+
     $I$29*$B68*365*24/1000+
         $J$29*$B68*365*24/1000+
            $K$29*$B68*365*24/1000+
                  $L$29*$B68*365*24/1000+
                     $M$29*$B68*365*24/1000+
                             $N$29*$B68*365*24/1000+
                                    $O$29*$B68*365*24/1000/2</f>
        <v>1406.856</v>
      </c>
      <c r="R68" s="169">
        <f>$H$29*$B68*365*24/1000+
     $I$29*$B68*365*24/1000+
         $J$29*$B68*365*24/1000+
            $K$29*$B68*365*24/1000+
                  $L$29*$B68*365*24/1000+
                     $M$29*$B68*365*24/1000+
                             $N$29*$B68*365*24/1000+
                                    $O$29*$B68*365*24/1000+
                                              $P$29*$B68*365*24/1000/2</f>
        <v>1638.12</v>
      </c>
      <c r="S68" s="169">
        <f>$H$29*$B68*365*24/1000+
     $I$29*$B68*365*24/1000+
         $J$29*$B68*365*24/1000+
            $K$29*$B68*365*24/1000+
                  $L$29*$B68*365*24/1000+
                     $M$29*$B68*365*24/1000+
                             $N$29*$B68*365*24/1000+
                                    $O$29*$B68*365*24/1000+
                                              $P$29*$B68*365*24/1000+
                                                       $Q$29*$B68*365*24/1000/2</f>
        <v>1869.384</v>
      </c>
      <c r="T68" s="169">
        <f>$H$29*$B68*365*24/1000+
     $I$29*$B68*365*24/1000+
         $J$29*$B68*365*24/1000+
            $K$29*$B68*365*24/1000+
                  $L$29*$B68*365*24/1000+
                     $M$29*$B68*365*24/1000+
                             $N$29*$B68*365*24/1000+
                                    $O$29*$B68*365*24/1000+
                                              $P$29*$B68*365*24/1000+
                                                       $Q$29*$B68*365*24/1000+
                                                                 $R$29*$B68*365*24/1000/2</f>
        <v>1985.0160000000001</v>
      </c>
      <c r="U68" s="169">
        <f>$H$29*$B68*365*24/1000+
     $I$29*$B68*365*24/1000+
         $J$29*$B68*365*24/1000+
            $K$29*$B68*365*24/1000+
                  $L$29*$B68*365*24/1000+
                     $M$29*$B68*365*24/1000+
                             $N$29*$B68*365*24/1000+
                                    $O$29*$B68*365*24/1000+
                                              $P$29*$B68*365*24/1000+
                                                       $Q$29*$B68*365*24/1000+
                                                                 $R$29*$B68*365*24/1000+
                                                                        $S$29*$B68*365*24/1000/2</f>
        <v>1985.0160000000001</v>
      </c>
      <c r="V68" s="169">
        <f>$H$29*$B68*365*24/1000+
     $I$29*$B68*365*24/1000+
         $J$29*$B68*365*24/1000+
            $K$29*$B68*365*24/1000+
                  $L$29*$B68*365*24/1000+
                     $M$29*$B68*365*24/1000+
                             $N$29*$B68*365*24/1000+
                                    $O$29*$B68*365*24/1000+
                                              $P$29*$B68*365*24/1000+
                                                       $Q$29*$B68*365*24/1000+
                                                                 $R$29*$B68*365*24/1000+
                                                                        $S$29*$B68*365*24/1000+
                                                                                  $T$29*$B68*365*24/1000/2</f>
        <v>1985.0160000000001</v>
      </c>
      <c r="W68" s="169">
        <f>$H$29*$B68*365*24/1000+
     $I$29*$B68*365*24/1000+
         $J$29*$B68*365*24/1000+
            $K$29*$B68*365*24/1000+
                  $L$29*$B68*365*24/1000+
                     $M$29*$B68*365*24/1000+
                             $N$29*$B68*365*24/1000+
                                    $O$29*$B68*365*24/1000+
                                              $P$29*$B68*365*24/1000+
                                                       $Q$29*$B68*365*24/1000+
                                                                 $R$29*$B68*365*24/1000+
                                                                        $S$29*$B68*365*24/1000+
                                                                                  $T$29*$B68*365*24/1000+
                                                                                                $U$29*$B68*365*24/1000/2</f>
        <v>1985.0160000000001</v>
      </c>
      <c r="Z68" s="33" t="s">
        <v>195</v>
      </c>
      <c r="AA68" s="243"/>
      <c r="AB68" s="243">
        <f>$H$30*$B69*365*24/1000*($AF$48-$AB$44)/2</f>
        <v>2.69808</v>
      </c>
      <c r="AC68" s="243">
        <f>$H$30*$B69*365*24/1000*($AF$48-$AB$44)+
     $I$30*$B69*365*24/1000*($AG$48-$AB$44)/2</f>
        <v>11.380115999999999</v>
      </c>
      <c r="AD68" s="243">
        <f>$H$30*$B69*365*24/1000*($AF$48-$AB$44)+
     $I$30*$B69*365*24/1000*($AG$48-$AB$44)+
         $J$30*$B69*365*24/1000*($AH$48-$AB$44)/2</f>
        <v>23.916551999999999</v>
      </c>
      <c r="AE68" s="243">
        <f>$H$30*$B69*365*24/1000*($AF$48-$AB$44)+
     $I$30*$B69*365*24/1000*($AG$48-$AB$44)+
         $J$30*$B69*365*24/1000*($AH$48-$AB$44)+
            $K$30*$B69*365*24/1000*($AI$48-$AB$44)/2</f>
        <v>36.925151999999997</v>
      </c>
      <c r="AF68" s="243">
        <f>$H$30*$B69*365*24/1000*($AF$48-$AB$44)+
     $I$30*$B69*365*24/1000*($AG$48-$AB$44)+
         $J$30*$B69*365*24/1000*($AH$48-$AB$44)+
            $K$30*$B69*365*24/1000*($AI$48-$AB$44)+
                  $L$30*$B69*365*24/1000*($AJ$48-$AB$44)/2</f>
        <v>49.741031999999997</v>
      </c>
      <c r="AG68" s="243">
        <f>$H$30*$B69*365*24/1000*($AF$48-$AB$44)+
     $I$30*$B69*365*24/1000*($AG$48-$AB$44)+
         $J$30*$B69*365*24/1000*($AH$48-$AB$44)+
            $K$30*$B69*365*24/1000*($AI$48-$AB$44)+
                  $L$30*$B69*365*24/1000*($AJ$48-$AB$44)+
                     $M$30*$B69*365*24/1000*($AK$48-$AB$44)/2</f>
        <v>62.990532000000002</v>
      </c>
      <c r="AH68" s="243">
        <f>$H$30*$B69*365*24/1000*($AF$48-$AB$44)+
     $I$30*$B69*365*24/1000*($AG$48-$AB$44)+
         $J$30*$B69*365*24/1000*($AH$48-$AB$44)+
            $K$30*$B69*365*24/1000*($AI$48-$AB$44)+
                  $L$30*$B69*365*24/1000*($AJ$48-$AB$44)+
                     $M$30*$B69*365*24/1000*($AK$48-$AB$44)+
                             $N$30*$B69*365*24/1000*($AL$48-$AB$44)/2</f>
        <v>76.66401599999999</v>
      </c>
      <c r="AI68" s="243">
        <f>$H$30*$B69*365*24/1000*($AF$48-$AB$44)+
     $I$30*$B69*365*24/1000*($AG$48-$AB$44)+
         $J$30*$B69*365*24/1000*($AH$48-$AB$44)+
            $K$30*$B69*365*24/1000*($AI$48-$AB$44)+
                  $L$30*$B69*365*24/1000*($AJ$48-$AB$44)+
                     $M$30*$B69*365*24/1000*($AK$48-$AB$44)+
                             $N$30*$B69*365*24/1000*($AL$48-$AB$44)+
                                    $O$30*$B69*365*24/1000*($AM$48-$AB$44)/2</f>
        <v>90.732575999999995</v>
      </c>
      <c r="AJ68" s="243">
        <f>$H$30*$B69*365*24/1000*($AF$48-$AB$44)+
     $I$30*$B69*365*24/1000*($AG$48-$AB$44)+
         $J$30*$B69*365*24/1000*($AH$48-$AB$44)+
            $K$30*$B69*365*24/1000*($AI$48-$AB$44)+
                  $L$30*$B69*365*24/1000*($AJ$48-$AB$44)+
                     $M$30*$B69*365*24/1000*($AK$48-$AB$44)+
                             $N$30*$B69*365*24/1000*($AL$48-$AB$44)+
                                    $O$30*$B69*365*24/1000*($AM$48-$AB$44)+
                                              $P$30*$B69*365*24/1000*($AN$48-$AB$44)/2</f>
        <v>105.18657599999999</v>
      </c>
      <c r="AK68" s="243">
        <f>$H$30*$B69*365*24/1000*($AF$48-$AB$44)+
     $I$30*$B69*365*24/1000*($AG$48-$AB$44)+
         $J$30*$B69*365*24/1000*($AH$48-$AB$44)+
            $K$30*$B69*365*24/1000*($AI$48-$AB$44)+
                  $L$30*$B69*365*24/1000*($AJ$48-$AB$44)+
                     $M$30*$B69*365*24/1000*($AK$48-$AB$44)+
                             $N$30*$B69*365*24/1000*($AL$48-$AB$44)+
                                    $O$30*$B69*365*24/1000*($AM$48-$AB$44)+
                                              $P$30*$B69*365*24/1000*($AN$48-$AB$44)+
                                                       $Q$30*$B69*365*24/1000*($AO$48-$AB$44)/2</f>
        <v>119.40931199999999</v>
      </c>
      <c r="AL68" s="243">
        <f t="shared" ref="AL68:AU68" si="41">$H$30*$B69*365*24/1000*($AF$48-$AB$44)+
     $I$30*$B69*365*24/1000*($AG$48-$AB$44)+
         $J$30*$B69*365*24/1000*($AH$48-$AB$44)+
            $K$30*$B69*365*24/1000*($AI$48-$AB$44)+
                  $L$30*$B69*365*24/1000*($AJ$48-$AB$44)+
                     $M$30*$B69*365*24/1000*($AK$48-$AB$44)+
                             $N$30*$B69*365*24/1000*($AL$48-$AB$44)+
                                    $O$30*$B69*365*24/1000*($AM$48-$AB$44)+
                                              $P$30*$B69*365*24/1000*($AN$48-$AB$44)+
                                                       $Q$30*$B69*365*24/1000*($AO$48-$AB$44)</f>
        <v>126.462864</v>
      </c>
      <c r="AM68" s="243">
        <f t="shared" si="41"/>
        <v>126.462864</v>
      </c>
      <c r="AN68" s="243">
        <f t="shared" si="41"/>
        <v>126.462864</v>
      </c>
      <c r="AO68" s="243">
        <f t="shared" si="41"/>
        <v>126.462864</v>
      </c>
      <c r="AP68" s="243">
        <f t="shared" si="41"/>
        <v>126.462864</v>
      </c>
      <c r="AQ68" s="243">
        <f t="shared" si="41"/>
        <v>126.462864</v>
      </c>
      <c r="AR68" s="243">
        <f t="shared" si="41"/>
        <v>126.462864</v>
      </c>
      <c r="AS68" s="243">
        <f t="shared" si="41"/>
        <v>126.462864</v>
      </c>
      <c r="AT68" s="243">
        <f t="shared" si="41"/>
        <v>126.462864</v>
      </c>
      <c r="AU68" s="243">
        <f t="shared" si="41"/>
        <v>126.462864</v>
      </c>
      <c r="AV68" s="243">
        <f>$H$30*$B69*365*24/1000*($AF$48-$AB$44)/2+
     $I$30*$B69*365*24/1000*($AG$48-$AB$44)+
         $J$30*$B69*365*24/1000*($AH$48-$AB$44)+
            $K$30*$B69*365*24/1000*($AI$48-$AB$44)+
                  $L$30*$B69*365*24/1000*($AJ$48-$AB$44)+
                     $M$30*$B69*365*24/1000*($AK$48-$AB$44)+
                             $N$30*$B69*365*24/1000*($AL$48-$AB$44)+
                                    $O$30*$B69*365*24/1000*($AM$48-$AB$44)+
                                              $P$30*$B69*365*24/1000*($AN$48-$AB$44)+
                                                       $Q$30*$B69*365*24/1000*($AO$48-$AB$44)</f>
        <v>123.76478399999999</v>
      </c>
      <c r="AW68" s="243">
        <f xml:space="preserve">
     $I$30*$B69*365*24/1000*($AG$48-$AB$44)/2+
         $J$30*$B69*365*24/1000*($AH$48-$AB$44)+
            $K$30*$B69*365*24/1000*($AI$48-$AB$44)+
                  $L$30*$B69*365*24/1000*($AJ$48-$AB$44)+
                     $M$30*$B69*365*24/1000*($AK$48-$AB$44)+
                             $N$30*$B69*365*24/1000*($AL$48-$AB$44)+
                                    $O$30*$B69*365*24/1000*($AM$48-$AB$44)+
                                              $P$30*$B69*365*24/1000*($AN$48-$AB$44)+
                                                       $Q$30*$B69*365*24/1000*($AO$48-$AB$44)</f>
        <v>115.08274800000001</v>
      </c>
      <c r="AX68" s="243">
        <f xml:space="preserve">
         $J$30*$B69*365*24/1000*($AH$48-$AB$44)/2+
            $K$30*$B69*365*24/1000*($AI$48-$AB$44)+
                  $L$30*$B69*365*24/1000*($AJ$48-$AB$44)+
                     $M$30*$B69*365*24/1000*($AK$48-$AB$44)+
                             $N$30*$B69*365*24/1000*($AL$48-$AB$44)+
                                    $O$30*$B69*365*24/1000*($AM$48-$AB$44)+
                                              $P$30*$B69*365*24/1000*($AN$48-$AB$44)+
                                                       $Q$30*$B69*365*24/1000*($AO$48-$AB$44)</f>
        <v>102.546312</v>
      </c>
      <c r="AY68" s="243">
        <f xml:space="preserve">
            $K$30*$B69*365*24/1000*($AI$48-$AB$44)/2+
                  $L$30*$B69*365*24/1000*($AJ$48-$AB$44)+
                     $M$30*$B69*365*24/1000*($AK$48-$AB$44)+
                             $N$30*$B69*365*24/1000*($AL$48-$AB$44)+
                                    $O$30*$B69*365*24/1000*($AM$48-$AB$44)+
                                              $P$30*$B69*365*24/1000*($AN$48-$AB$44)+
                                                       $Q$30*$B69*365*24/1000*($AO$48-$AB$44)</f>
        <v>89.537711999999999</v>
      </c>
      <c r="AZ68" s="243">
        <f xml:space="preserve">
                  $L$30*$B69*365*24/1000*($AJ$48-$AB$44)/2+
                     $M$30*$B69*365*24/1000*($AK$48-$AB$44)+
                             $N$30*$B69*365*24/1000*($AL$48-$AB$44)+
                                    $O$30*$B69*365*24/1000*($AM$48-$AB$44)+
                                              $P$30*$B69*365*24/1000*($AN$48-$AB$44)+
                                                       $Q$30*$B69*365*24/1000*($AO$48-$AB$44)</f>
        <v>76.721832000000006</v>
      </c>
      <c r="BA68" s="243">
        <f xml:space="preserve">
                     $M$30*$B69*365*24/1000*($AK$48-$AB$44)/2+
                             $N$30*$B69*365*24/1000*($AL$48-$AB$44)+
                                    $O$30*$B69*365*24/1000*($AM$48-$AB$44)+
                                              $P$30*$B69*365*24/1000*($AN$48-$AB$44)+
                                                       $Q$30*$B69*365*24/1000*($AO$48-$AB$44)</f>
        <v>63.472332000000002</v>
      </c>
      <c r="BB68" s="243">
        <f xml:space="preserve">
                             $N$30*$B69*365*24/1000*($AL$48-$AB$44)/2+
                                    $O$30*$B69*365*24/1000*($AM$48-$AB$44)+
                                              $P$30*$B69*365*24/1000*($AN$48-$AB$44)+
                                                       $Q$30*$B69*365*24/1000*($AO$48-$AB$44)</f>
        <v>49.798848</v>
      </c>
      <c r="BC68" s="243">
        <f xml:space="preserve">
                                    $O$30*$B69*365*24/1000*($AM$48-$AB$44)/2+
                                              $P$30*$B69*365*24/1000*($AN$48-$AB$44)+
                                                       $Q$30*$B69*365*24/1000*($AO$48-$AB$44)</f>
        <v>35.730288000000002</v>
      </c>
      <c r="BD68" s="243">
        <f xml:space="preserve">
                                              $P$30*$B69*365*24/1000*($AN$48-$AB$44)/2+
                                                       $Q$30*$B69*365*24/1000*($AO$48-$AB$44)</f>
        <v>21.276288000000001</v>
      </c>
      <c r="BE68" s="243">
        <f xml:space="preserve">
                                                       $Q$30*$B69*365*24/1000*($AO$48-$AB$44)/2</f>
        <v>7.0535519999999998</v>
      </c>
      <c r="BF68" s="239">
        <f t="shared" si="39"/>
        <v>2529.2572799999998</v>
      </c>
    </row>
    <row r="69" spans="2:58" ht="15">
      <c r="B69" s="107">
        <f>B60</f>
        <v>0.44</v>
      </c>
      <c r="C69" s="33" t="s">
        <v>195</v>
      </c>
      <c r="D69" s="180"/>
      <c r="E69" s="180"/>
      <c r="F69" s="180"/>
      <c r="G69" s="180"/>
      <c r="H69" s="180"/>
      <c r="I69" s="181"/>
      <c r="J69" s="169">
        <f>$H$28*$B69*365*24/1000/2</f>
        <v>96.36</v>
      </c>
      <c r="K69" s="169">
        <f>$H$30*$B69*365*24/1000+
     $I$30*$B69*365*24/1000/2</f>
        <v>163.81200000000001</v>
      </c>
      <c r="L69" s="169">
        <f>$H$30*$B69*365*24/1000+
     $I$30*$B69*365*24/1000+
         $J$30*$B69*365*24/1000/2</f>
        <v>346.89600000000002</v>
      </c>
      <c r="M69" s="169">
        <f>$H$30*$B69*365*24/1000+
     $I$30*$B69*365*24/1000+
         $J$30*$B69*365*24/1000+
            $K$30*$B69*365*24/1000/2</f>
        <v>539.61599999999999</v>
      </c>
      <c r="N69" s="169">
        <f>$H$30*$B69*365*24/1000+
     $I$30*$B69*365*24/1000+
         $J$30*$B69*365*24/1000+
            $K$30*$B69*365*24/1000+
                  $L$30*$B69*365*24/1000/2</f>
        <v>732.33600000000001</v>
      </c>
      <c r="O69" s="169">
        <f>$H$30*$B69*365*24/1000+
     $I$30*$B69*365*24/1000+
         $J$30*$B69*365*24/1000+
            $K$30*$B69*365*24/1000+
                  $L$30*$B69*365*24/1000+
                     $M$30*$B69*365*24/1000/2</f>
        <v>934.69200000000001</v>
      </c>
      <c r="P69" s="169">
        <f>$H$30*$B69*365*24/1000+
     $I$30*$B69*365*24/1000+
         $J$30*$B69*365*24/1000+
            $K$30*$B69*365*24/1000+
                  $L$30*$B69*365*24/1000+
                     $M$30*$B69*365*24/1000+
                             $N$30*$B69*365*24/1000/2</f>
        <v>1146.6840000000002</v>
      </c>
      <c r="Q69" s="169">
        <f>$H$30*$B69*365*24/1000+
     $I$30*$B69*365*24/1000+
         $J$30*$B69*365*24/1000+
            $K$30*$B69*365*24/1000+
                  $L$30*$B69*365*24/1000+
                     $M$30*$B69*365*24/1000+
                             $N$30*$B69*365*24/1000+
                                    $O$30*$B69*365*24/1000/2</f>
        <v>1368.3120000000001</v>
      </c>
      <c r="R69" s="169">
        <f>$H$30*$B69*365*24/1000+
     $I$30*$B69*365*24/1000+
         $J$30*$B69*365*24/1000+
            $K$30*$B69*365*24/1000+
                  $L$30*$B69*365*24/1000+
                     $M$30*$B69*365*24/1000+
                             $N$30*$B69*365*24/1000+
                                    $O$30*$B69*365*24/1000+
                                              $P$30*$B69*365*24/1000/2</f>
        <v>1599.576</v>
      </c>
      <c r="S69" s="169">
        <f>$H$30*$B69*365*24/1000+
     $I$30*$B69*365*24/1000+
         $J$30*$B69*365*24/1000+
            $K$30*$B69*365*24/1000+
                  $L$30*$B69*365*24/1000+
                     $M$30*$B69*365*24/1000+
                             $N$30*$B69*365*24/1000+
                                    $O$30*$B69*365*24/1000+
                                              $P$30*$B69*365*24/1000+
                                                       $Q$30*$B69*365*24/1000/2</f>
        <v>1830.8400000000001</v>
      </c>
      <c r="T69" s="169">
        <f>$H$30*$B69*365*24/1000+
     $I$30*$B69*365*24/1000+
         $J$30*$B69*365*24/1000+
            $K$30*$B69*365*24/1000+
                  $L$30*$B69*365*24/1000+
                     $M$30*$B69*365*24/1000+
                             $N$30*$B69*365*24/1000+
                                    $O$30*$B69*365*24/1000+
                                              $P$30*$B69*365*24/1000+
                                                       $Q$30*$B69*365*24/1000+
                                                                 $R$30*$B69*365*24/1000/2</f>
        <v>1946.4720000000002</v>
      </c>
      <c r="U69" s="169">
        <f>$H$30*$B69*365*24/1000+
     $I$30*$B69*365*24/1000+
         $J$30*$B69*365*24/1000+
            $K$30*$B69*365*24/1000+
                  $L$30*$B69*365*24/1000+
                     $M$30*$B69*365*24/1000+
                             $N$30*$B69*365*24/1000+
                                    $O$30*$B69*365*24/1000+
                                              $P$30*$B69*365*24/1000+
                                                       $Q$30*$B69*365*24/1000+
                                                                 $R$30*$B69*365*24/1000+
                                                                        $S$30*$B69*365*24/1000/2</f>
        <v>1946.4720000000002</v>
      </c>
      <c r="V69" s="169">
        <f>$H$30*$B69*365*24/1000+
     $I$30*$B69*365*24/1000+
         $J$30*$B69*365*24/1000+
            $K$30*$B69*365*24/1000+
                  $L$30*$B69*365*24/1000+
                     $M$30*$B69*365*24/1000+
                             $N$30*$B69*365*24/1000+
                                    $O$30*$B69*365*24/1000+
                                              $P$30*$B69*365*24/1000+
                                                       $Q$30*$B69*365*24/1000+
                                                                 $R$30*$B69*365*24/1000+
                                                                        $S$30*$B69*365*24/1000+
                                                                                  $T$30*$B69*365*24/1000/2</f>
        <v>1946.4720000000002</v>
      </c>
      <c r="W69" s="169">
        <f>$H$30*$B69*365*24/1000+
     $I$30*$B69*365*24/1000+
         $J$30*$B69*365*24/1000+
            $K$30*$B69*365*24/1000+
                  $L$30*$B69*365*24/1000+
                     $M$30*$B69*365*24/1000+
                             $N$30*$B69*365*24/1000+
                                    $O$30*$B69*365*24/1000+
                                              $P$30*$B69*365*24/1000+
                                                       $Q$30*$B69*365*24/1000+
                                                                 $R$30*$B69*365*24/1000+
                                                                        $S$30*$B69*365*24/1000+
                                                                                  $T$30*$B69*365*24/1000+
                                                                                                $U$30*$B69*365*24/1000/2</f>
        <v>1946.4720000000002</v>
      </c>
      <c r="Z69" s="33" t="s">
        <v>2715</v>
      </c>
      <c r="AA69" s="243"/>
      <c r="AB69" s="243">
        <f>$H$31*$B70*365*24/1000*($AF$48-$AB$44)/2</f>
        <v>0.50588999999999995</v>
      </c>
      <c r="AC69" s="243">
        <f>$H$31*$B70*365*24/1000*($AF$48-$AB$44)+
     $I$31*$B70*365*24/1000*($AG$48-$AB$44)/2</f>
        <v>1.510443</v>
      </c>
      <c r="AD69" s="243">
        <f>$H$31*$B70*365*24/1000*($AF$48-$AB$44)+
     $I$31*$B70*365*24/1000*($AG$48-$AB$44)+
         $J$31*$B70*365*24/1000*($AH$48-$AB$44)/2</f>
        <v>2.5005420000000003</v>
      </c>
      <c r="AE69" s="243">
        <f>$H$31*$B70*365*24/1000*($AF$48-$AB$44)+
     $I$31*$B70*365*24/1000*($AG$48-$AB$44)+
         $J$31*$B70*365*24/1000*($AH$48-$AB$44)+
            $K$31*$B70*365*24/1000*($AI$48-$AB$44)/2</f>
        <v>3.4761869999999999</v>
      </c>
      <c r="AF69" s="243">
        <f>$H$31*$B70*365*24/1000*($AF$48-$AB$44)+
     $I$31*$B70*365*24/1000*($AG$48-$AB$44)+
         $J$31*$B70*365*24/1000*($AH$48-$AB$44)+
            $K$31*$B70*365*24/1000*($AI$48-$AB$44)+
                  $L$31*$B70*365*24/1000*($AJ$48-$AB$44)/2</f>
        <v>4.9143600000000003</v>
      </c>
      <c r="AG69" s="243">
        <f>$H$31*$B70*365*24/1000*($AF$48-$AB$44)+
     $I$31*$B70*365*24/1000*($AG$48-$AB$44)+
         $J$31*$B70*365*24/1000*($AH$48-$AB$44)+
            $K$31*$B70*365*24/1000*($AI$48-$AB$44)+
                  $L$31*$B70*365*24/1000*($AJ$48-$AB$44)+
                     $M$31*$B70*365*24/1000*($AK$48-$AB$44)/2</f>
        <v>6.8078340000000006</v>
      </c>
      <c r="AH69" s="243">
        <f>$H$31*$B70*365*24/1000*($AF$48-$AB$44)+
     $I$31*$B70*365*24/1000*($AG$48-$AB$44)+
         $J$31*$B70*365*24/1000*($AH$48-$AB$44)+
            $K$31*$B70*365*24/1000*($AI$48-$AB$44)+
                  $L$31*$B70*365*24/1000*($AJ$48-$AB$44)+
                     $M$31*$B70*365*24/1000*($AK$48-$AB$44)+
                             $N$31*$B70*365*24/1000*($AL$48-$AB$44)/2</f>
        <v>8.6723999999999997</v>
      </c>
      <c r="AI69" s="243">
        <f>$H$31*$B70*365*24/1000*($AF$48-$AB$44)+
     $I$31*$B70*365*24/1000*($AG$48-$AB$44)+
         $J$31*$B70*365*24/1000*($AH$48-$AB$44)+
            $K$31*$B70*365*24/1000*($AI$48-$AB$44)+
                  $L$31*$B70*365*24/1000*($AJ$48-$AB$44)+
                     $M$31*$B70*365*24/1000*($AK$48-$AB$44)+
                             $N$31*$B70*365*24/1000*($AL$48-$AB$44)+
                                    $O$31*$B70*365*24/1000*($AM$48-$AB$44)/2</f>
        <v>10.508058000000002</v>
      </c>
      <c r="AJ69" s="243">
        <f>$H$31*$B70*365*24/1000*($AF$48-$AB$44)+
     $I$31*$B70*365*24/1000*($AG$48-$AB$44)+
         $J$31*$B70*365*24/1000*($AH$48-$AB$44)+
            $K$31*$B70*365*24/1000*($AI$48-$AB$44)+
                  $L$31*$B70*365*24/1000*($AJ$48-$AB$44)+
                     $M$31*$B70*365*24/1000*($AK$48-$AB$44)+
                             $N$31*$B70*365*24/1000*($AL$48-$AB$44)+
                                    $O$31*$B70*365*24/1000*($AM$48-$AB$44)+
                                              $P$31*$B70*365*24/1000*($AN$48-$AB$44)/2</f>
        <v>12.314808000000001</v>
      </c>
      <c r="AK69" s="243">
        <f>$H$31*$B70*365*24/1000*($AF$48-$AB$44)+
     $I$31*$B70*365*24/1000*($AG$48-$AB$44)+
         $J$31*$B70*365*24/1000*($AH$48-$AB$44)+
            $K$31*$B70*365*24/1000*($AI$48-$AB$44)+
                  $L$31*$B70*365*24/1000*($AJ$48-$AB$44)+
                     $M$31*$B70*365*24/1000*($AK$48-$AB$44)+
                             $N$31*$B70*365*24/1000*($AL$48-$AB$44)+
                                    $O$31*$B70*365*24/1000*($AM$48-$AB$44)+
                                              $P$31*$B70*365*24/1000*($AN$48-$AB$44)+
                                                       $Q$31*$B70*365*24/1000*($AO$48-$AB$44)/2</f>
        <v>14.092650000000001</v>
      </c>
      <c r="AL69" s="243">
        <f t="shared" ref="AL69:AU69" si="42">$H$31*$B70*365*24/1000*($AF$48-$AB$44)+
     $I$31*$B70*365*24/1000*($AG$48-$AB$44)+
         $J$31*$B70*365*24/1000*($AH$48-$AB$44)+
            $K$31*$B70*365*24/1000*($AI$48-$AB$44)+
                  $L$31*$B70*365*24/1000*($AJ$48-$AB$44)+
                     $M$31*$B70*365*24/1000*($AK$48-$AB$44)+
                             $N$31*$B70*365*24/1000*($AL$48-$AB$44)+
                                    $O$31*$B70*365*24/1000*($AM$48-$AB$44)+
                                              $P$31*$B70*365*24/1000*($AN$48-$AB$44)+
                                                       $Q$31*$B70*365*24/1000*($AO$48-$AB$44)</f>
        <v>14.974344000000002</v>
      </c>
      <c r="AM69" s="243">
        <f t="shared" si="42"/>
        <v>14.974344000000002</v>
      </c>
      <c r="AN69" s="243">
        <f t="shared" si="42"/>
        <v>14.974344000000002</v>
      </c>
      <c r="AO69" s="243">
        <f t="shared" si="42"/>
        <v>14.974344000000002</v>
      </c>
      <c r="AP69" s="243">
        <f t="shared" si="42"/>
        <v>14.974344000000002</v>
      </c>
      <c r="AQ69" s="243">
        <f t="shared" si="42"/>
        <v>14.974344000000002</v>
      </c>
      <c r="AR69" s="243">
        <f t="shared" si="42"/>
        <v>14.974344000000002</v>
      </c>
      <c r="AS69" s="243">
        <f t="shared" si="42"/>
        <v>14.974344000000002</v>
      </c>
      <c r="AT69" s="243">
        <f t="shared" si="42"/>
        <v>14.974344000000002</v>
      </c>
      <c r="AU69" s="243">
        <f t="shared" si="42"/>
        <v>14.974344000000002</v>
      </c>
      <c r="AV69" s="243">
        <f>$H$31*$B70*365*24/1000*($AF$48-$AB$44)/2+
     $I$31*$B70*365*24/1000*($AG$48-$AB$44)+
         $J$31*$B70*365*24/1000*($AH$48-$AB$44)+
            $K$31*$B70*365*24/1000*($AI$48-$AB$44)+
                  $L$31*$B70*365*24/1000*($AJ$48-$AB$44)+
                     $M$31*$B70*365*24/1000*($AK$48-$AB$44)+
                             $N$31*$B70*365*24/1000*($AL$48-$AB$44)+
                                    $O$31*$B70*365*24/1000*($AM$48-$AB$44)+
                                              $P$31*$B70*365*24/1000*($AN$48-$AB$44)+
                                                       $Q$31*$B70*365*24/1000*($AO$48-$AB$44)</f>
        <v>14.468454000000001</v>
      </c>
      <c r="AW69" s="243">
        <f xml:space="preserve">
     $I$31*$B70*365*24/1000*($AG$48-$AB$44)/2+
         $J$31*$B70*365*24/1000*($AH$48-$AB$44)+
            $K$31*$B70*365*24/1000*($AI$48-$AB$44)+
                  $L$31*$B70*365*24/1000*($AJ$48-$AB$44)+
                     $M$31*$B70*365*24/1000*($AK$48-$AB$44)+
                             $N$31*$B70*365*24/1000*($AL$48-$AB$44)+
                                    $O$31*$B70*365*24/1000*($AM$48-$AB$44)+
                                              $P$31*$B70*365*24/1000*($AN$48-$AB$44)+
                                                       $Q$31*$B70*365*24/1000*($AO$48-$AB$44)</f>
        <v>13.463901000000003</v>
      </c>
      <c r="AX69" s="243">
        <f xml:space="preserve">
         $J$31*$B70*365*24/1000*($AH$48-$AB$44)/2+
            $K$31*$B70*365*24/1000*($AI$48-$AB$44)+
                  $L$31*$B70*365*24/1000*($AJ$48-$AB$44)+
                     $M$31*$B70*365*24/1000*($AK$48-$AB$44)+
                             $N$31*$B70*365*24/1000*($AL$48-$AB$44)+
                                    $O$31*$B70*365*24/1000*($AM$48-$AB$44)+
                                              $P$31*$B70*365*24/1000*($AN$48-$AB$44)+
                                                       $Q$31*$B70*365*24/1000*($AO$48-$AB$44)</f>
        <v>12.473802000000003</v>
      </c>
      <c r="AY69" s="243">
        <f xml:space="preserve">
            $K$31*$B70*365*24/1000*($AI$48-$AB$44)/2+
                  $L$31*$B70*365*24/1000*($AJ$48-$AB$44)+
                     $M$31*$B70*365*24/1000*($AK$48-$AB$44)+
                             $N$31*$B70*365*24/1000*($AL$48-$AB$44)+
                                    $O$31*$B70*365*24/1000*($AM$48-$AB$44)+
                                              $P$31*$B70*365*24/1000*($AN$48-$AB$44)+
                                                       $Q$31*$B70*365*24/1000*($AO$48-$AB$44)</f>
        <v>11.498156999999999</v>
      </c>
      <c r="AZ69" s="243">
        <f xml:space="preserve">
                  $L$31*$B70*365*24/1000*($AJ$48-$AB$44)/2+
                     $M$31*$B70*365*24/1000*($AK$48-$AB$44)+
                             $N$31*$B70*365*24/1000*($AL$48-$AB$44)+
                                    $O$31*$B70*365*24/1000*($AM$48-$AB$44)+
                                              $P$31*$B70*365*24/1000*($AN$48-$AB$44)+
                                                       $Q$31*$B70*365*24/1000*($AO$48-$AB$44)</f>
        <v>10.059984</v>
      </c>
      <c r="BA69" s="243">
        <f xml:space="preserve">
                     $M$31*$B70*365*24/1000*($AK$48-$AB$44)/2+
                             $N$31*$B70*365*24/1000*($AL$48-$AB$44)+
                                    $O$31*$B70*365*24/1000*($AM$48-$AB$44)+
                                              $P$31*$B70*365*24/1000*($AN$48-$AB$44)+
                                                       $Q$31*$B70*365*24/1000*($AO$48-$AB$44)</f>
        <v>8.1665100000000006</v>
      </c>
      <c r="BB69" s="243">
        <f xml:space="preserve">
                             $N$31*$B70*365*24/1000*($AL$48-$AB$44)/2+
                                    $O$31*$B70*365*24/1000*($AM$48-$AB$44)+
                                              $P$31*$B70*365*24/1000*($AN$48-$AB$44)+
                                                       $Q$31*$B70*365*24/1000*($AO$48-$AB$44)</f>
        <v>6.3019440000000007</v>
      </c>
      <c r="BC69" s="243">
        <f xml:space="preserve">
                                    $O$31*$B70*365*24/1000*($AM$48-$AB$44)/2+
                                              $P$31*$B70*365*24/1000*($AN$48-$AB$44)+
                                                       $Q$31*$B70*365*24/1000*($AO$48-$AB$44)</f>
        <v>4.4662860000000002</v>
      </c>
      <c r="BD69" s="243">
        <f xml:space="preserve">
                                              $P$31*$B70*365*24/1000*($AN$48-$AB$44)/2+
                                                       $Q$31*$B70*365*24/1000*($AO$48-$AB$44)</f>
        <v>2.6595360000000001</v>
      </c>
      <c r="BE69" s="243">
        <f xml:space="preserve">
                                                       $Q$31*$B70*365*24/1000*($AO$48-$AB$44)/2</f>
        <v>0.88169399999999998</v>
      </c>
      <c r="BF69" s="239">
        <f t="shared" si="39"/>
        <v>299.48688000000004</v>
      </c>
    </row>
    <row r="70" spans="2:58" ht="15">
      <c r="B70" s="107">
        <f>B61</f>
        <v>0.33</v>
      </c>
      <c r="C70" s="72" t="s">
        <v>2715</v>
      </c>
      <c r="D70" s="185"/>
      <c r="E70" s="185"/>
      <c r="F70" s="185"/>
      <c r="G70" s="185"/>
      <c r="H70" s="185"/>
      <c r="I70" s="186"/>
      <c r="J70" s="170">
        <f>$H$28*$B70*365*24/1000/2</f>
        <v>72.27</v>
      </c>
      <c r="K70" s="170">
        <f>$H$31*$B70*365*24/1000+
     $I$31*$B70*365*24/1000/2</f>
        <v>21.681000000000001</v>
      </c>
      <c r="L70" s="170">
        <f>$H$31*$B70*365*24/1000+
     $I$31*$B70*365*24/1000+
         $J$31*$B70*365*24/1000/2</f>
        <v>36.135000000000005</v>
      </c>
      <c r="M70" s="170">
        <f>$H$31*$B70*365*24/1000+
     $I$31*$B70*365*24/1000+
         $J$31*$B70*365*24/1000+
            $K$31*$B70*365*24/1000/2</f>
        <v>50.588999999999999</v>
      </c>
      <c r="N70" s="170">
        <f>$H$31*$B70*365*24/1000+
     $I$31*$B70*365*24/1000+
         $J$31*$B70*365*24/1000+
            $K$31*$B70*365*24/1000+
                  $L$31*$B70*365*24/1000/2</f>
        <v>72.27000000000001</v>
      </c>
      <c r="O70" s="170">
        <f>$H$31*$B70*365*24/1000+
     $I$31*$B70*365*24/1000+
         $J$31*$B70*365*24/1000+
            $K$31*$B70*365*24/1000+
                  $L$31*$B70*365*24/1000+
                     $M$31*$B70*365*24/1000/2</f>
        <v>101.178</v>
      </c>
      <c r="P70" s="170">
        <f>$H$31*$B70*365*24/1000+
     $I$31*$B70*365*24/1000+
         $J$31*$B70*365*24/1000+
            $K$31*$B70*365*24/1000+
                  $L$31*$B70*365*24/1000+
                     $M$31*$B70*365*24/1000+
                             $N$31*$B70*365*24/1000/2</f>
        <v>130.08600000000001</v>
      </c>
      <c r="Q70" s="170">
        <f>$H$31*$B70*365*24/1000+
     $I$31*$B70*365*24/1000+
         $J$31*$B70*365*24/1000+
            $K$31*$B70*365*24/1000+
                  $L$31*$B70*365*24/1000+
                     $M$31*$B70*365*24/1000+
                             $N$31*$B70*365*24/1000+
                                    $O$31*$B70*365*24/1000/2</f>
        <v>158.99400000000003</v>
      </c>
      <c r="R70" s="170">
        <f>$H$31*$B70*365*24/1000+
     $I$31*$B70*365*24/1000+
         $J$31*$B70*365*24/1000+
            $K$31*$B70*365*24/1000+
                  $L$31*$B70*365*24/1000+
                     $M$31*$B70*365*24/1000+
                             $N$31*$B70*365*24/1000+
                                    $O$31*$B70*365*24/1000+
                                              $P$31*$B70*365*24/1000/2</f>
        <v>187.90200000000004</v>
      </c>
      <c r="S70" s="170">
        <f>$H$31*$B70*365*24/1000+
     $I$31*$B70*365*24/1000+
         $J$31*$B70*365*24/1000+
            $K$31*$B70*365*24/1000+
                  $L$31*$B70*365*24/1000+
                     $M$31*$B70*365*24/1000+
                             $N$31*$B70*365*24/1000+
                                    $O$31*$B70*365*24/1000+
                                              $P$31*$B70*365*24/1000+
                                                       $Q$31*$B70*365*24/1000/2</f>
        <v>216.81000000000006</v>
      </c>
      <c r="T70" s="170">
        <f>$H$31*$B70*365*24/1000+
     $I$31*$B70*365*24/1000+
         $J$31*$B70*365*24/1000+
            $K$31*$B70*365*24/1000+
                  $L$31*$B70*365*24/1000+
                     $M$31*$B70*365*24/1000+
                             $N$31*$B70*365*24/1000+
                                    $O$31*$B70*365*24/1000+
                                              $P$31*$B70*365*24/1000+
                                                       $Q$31*$B70*365*24/1000+
                                                                 $R$31*$B70*365*24/1000/2</f>
        <v>231.26400000000007</v>
      </c>
      <c r="U70" s="170">
        <f>$H$31*$B70*365*24/1000+
     $I$31*$B70*365*24/1000+
         $J$31*$B70*365*24/1000+
            $K$31*$B70*365*24/1000+
                  $L$31*$B70*365*24/1000+
                     $M$31*$B70*365*24/1000+
                             $N$31*$B70*365*24/1000+
                                    $O$31*$B70*365*24/1000+
                                              $P$31*$B70*365*24/1000+
                                                       $Q$31*$B70*365*24/1000+
                                                                 $R$31*$B70*365*24/1000+
                                                                        $S$31*$B70*365*24/1000/2</f>
        <v>231.26400000000007</v>
      </c>
      <c r="V70" s="170">
        <f>$H$31*$B70*365*24/1000+
     $I$31*$B70*365*24/1000+
         $J$31*$B70*365*24/1000+
            $K$31*$B70*365*24/1000+
                  $L$31*$B70*365*24/1000+
                     $M$31*$B70*365*24/1000+
                             $N$31*$B70*365*24/1000+
                                    $O$31*$B70*365*24/1000+
                                              $P$31*$B70*365*24/1000+
                                                       $Q$31*$B70*365*24/1000+
                                                                 $R$31*$B70*365*24/1000+
                                                                        $S$31*$B70*365*24/1000+
                                                                                  $T$31*$B70*365*24/1000/2</f>
        <v>231.26400000000007</v>
      </c>
      <c r="W70" s="170">
        <f>$H$31*$B70*365*24/1000+
     $I$31*$B70*365*24/1000+
         $J$31*$B70*365*24/1000+
            $K$31*$B70*365*24/1000+
                  $L$31*$B70*365*24/1000+
                     $M$31*$B70*365*24/1000+
                             $N$31*$B70*365*24/1000+
                                    $O$31*$B70*365*24/1000+
                                              $P$31*$B70*365*24/1000+
                                                       $Q$31*$B70*365*24/1000+
                                                                 $R$31*$B70*365*24/1000+
                                                                        $S$31*$B70*365*24/1000+
                                                                                  $T$31*$B70*365*24/1000+
                                                                                                $U$31*$B70*365*24/1000/2</f>
        <v>231.26400000000007</v>
      </c>
      <c r="Z70" s="166" t="s">
        <v>3241</v>
      </c>
      <c r="AA70" s="238">
        <f>SUM(AA65:AA69)</f>
        <v>1.2001199999999999</v>
      </c>
      <c r="AB70" s="238">
        <f t="shared" ref="AB70:BE70" si="43">SUM(AB65:AB69)</f>
        <v>14.597847959999999</v>
      </c>
      <c r="AC70" s="238">
        <f t="shared" si="43"/>
        <v>51.349868055839998</v>
      </c>
      <c r="AD70" s="238">
        <f t="shared" si="43"/>
        <v>104.89510917590493</v>
      </c>
      <c r="AE70" s="238">
        <f t="shared" si="43"/>
        <v>174.81081173884951</v>
      </c>
      <c r="AF70" s="238">
        <f t="shared" si="43"/>
        <v>241.26206686241636</v>
      </c>
      <c r="AG70" s="238">
        <f t="shared" si="43"/>
        <v>309.39409741924192</v>
      </c>
      <c r="AH70" s="238">
        <f t="shared" si="43"/>
        <v>375.48775372672645</v>
      </c>
      <c r="AI70" s="238">
        <f t="shared" si="43"/>
        <v>438.66517162836612</v>
      </c>
      <c r="AJ70" s="238">
        <f t="shared" si="43"/>
        <v>499.90790232259593</v>
      </c>
      <c r="AK70" s="238">
        <f t="shared" si="43"/>
        <v>559.5426861726603</v>
      </c>
      <c r="AL70" s="238">
        <f t="shared" si="43"/>
        <v>588.85423558762432</v>
      </c>
      <c r="AM70" s="238">
        <f t="shared" si="43"/>
        <v>588.64714902209857</v>
      </c>
      <c r="AN70" s="238">
        <f t="shared" si="43"/>
        <v>588.44130497596598</v>
      </c>
      <c r="AO70" s="238">
        <f t="shared" si="43"/>
        <v>588.23669599411016</v>
      </c>
      <c r="AP70" s="238">
        <f t="shared" si="43"/>
        <v>588.03331466614554</v>
      </c>
      <c r="AQ70" s="238">
        <f t="shared" si="43"/>
        <v>587.83115362614865</v>
      </c>
      <c r="AR70" s="238">
        <f t="shared" si="43"/>
        <v>587.63020555239177</v>
      </c>
      <c r="AS70" s="238">
        <f t="shared" si="43"/>
        <v>587.43046316707739</v>
      </c>
      <c r="AT70" s="238">
        <f t="shared" si="43"/>
        <v>587.23191923607499</v>
      </c>
      <c r="AU70" s="238">
        <f t="shared" si="43"/>
        <v>585.97054027225067</v>
      </c>
      <c r="AV70" s="238">
        <f t="shared" si="43"/>
        <v>572.16941127865425</v>
      </c>
      <c r="AW70" s="238">
        <f t="shared" si="43"/>
        <v>532.94653070552943</v>
      </c>
      <c r="AX70" s="238">
        <f t="shared" si="43"/>
        <v>476.01220820022513</v>
      </c>
      <c r="AY70" s="238">
        <f t="shared" si="43"/>
        <v>413.58422317570597</v>
      </c>
      <c r="AZ70" s="238">
        <f t="shared" si="43"/>
        <v>347.50191780766357</v>
      </c>
      <c r="BA70" s="238">
        <f t="shared" si="43"/>
        <v>279.80464974557003</v>
      </c>
      <c r="BB70" s="238">
        <f t="shared" si="43"/>
        <v>214.0304821853301</v>
      </c>
      <c r="BC70" s="238">
        <f t="shared" si="43"/>
        <v>150.81785399999998</v>
      </c>
      <c r="BD70" s="238">
        <f t="shared" si="43"/>
        <v>89.364263999999991</v>
      </c>
      <c r="BE70" s="238">
        <f t="shared" si="43"/>
        <v>29.519886</v>
      </c>
      <c r="BF70" s="238">
        <f t="shared" si="39"/>
        <v>11755.171844261167</v>
      </c>
    </row>
    <row r="71" spans="2:58">
      <c r="C71" s="100" t="s">
        <v>3241</v>
      </c>
      <c r="D71" s="175"/>
      <c r="E71" s="175"/>
      <c r="F71" s="175"/>
      <c r="G71" s="175"/>
      <c r="H71" s="175">
        <f t="shared" ref="H71:W71" si="44">SUM(H66:H70)</f>
        <v>0</v>
      </c>
      <c r="I71" s="171">
        <f t="shared" si="44"/>
        <v>30.003</v>
      </c>
      <c r="J71" s="171">
        <f t="shared" si="44"/>
        <v>468.67226399999998</v>
      </c>
      <c r="K71" s="171">
        <f t="shared" si="44"/>
        <v>1033.914212616</v>
      </c>
      <c r="L71" s="171">
        <f t="shared" si="44"/>
        <v>2121.4960657403044</v>
      </c>
      <c r="M71" s="171">
        <f t="shared" si="44"/>
        <v>3365.5830357458617</v>
      </c>
      <c r="N71" s="171">
        <f t="shared" si="44"/>
        <v>4749.1445851313874</v>
      </c>
      <c r="O71" s="171">
        <f t="shared" si="44"/>
        <v>6311.0402444205984</v>
      </c>
      <c r="P71" s="171">
        <f t="shared" si="44"/>
        <v>7992.988361354076</v>
      </c>
      <c r="Q71" s="171">
        <f t="shared" si="44"/>
        <v>9708.5825935859521</v>
      </c>
      <c r="R71" s="171">
        <f t="shared" si="44"/>
        <v>11441.627932424437</v>
      </c>
      <c r="S71" s="171">
        <f t="shared" si="44"/>
        <v>13016.847703229889</v>
      </c>
      <c r="T71" s="171">
        <f t="shared" si="44"/>
        <v>13720.43295301051</v>
      </c>
      <c r="U71" s="171">
        <f t="shared" si="44"/>
        <v>13708.398843292445</v>
      </c>
      <c r="V71" s="171">
        <f t="shared" si="44"/>
        <v>13696.436938232691</v>
      </c>
      <c r="W71" s="171">
        <f t="shared" si="44"/>
        <v>13684.546804603295</v>
      </c>
    </row>
    <row r="72" spans="2:58" ht="7.9" customHeight="1">
      <c r="C72" s="105"/>
    </row>
    <row r="73" spans="2:58" ht="18" customHeight="1">
      <c r="C73" s="270" t="s">
        <v>3495</v>
      </c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Z73" s="265" t="s">
        <v>3529</v>
      </c>
      <c r="AA73" s="265"/>
      <c r="AB73" s="265"/>
      <c r="AC73" s="265"/>
      <c r="AD73" s="265"/>
      <c r="AE73" s="265"/>
      <c r="AF73" s="265"/>
      <c r="AG73" s="265"/>
      <c r="AH73" s="265"/>
      <c r="AI73" s="265"/>
      <c r="AJ73" s="265"/>
      <c r="AK73" s="265"/>
      <c r="AL73" s="265"/>
      <c r="AM73" s="265"/>
      <c r="AN73" s="265"/>
      <c r="AO73" s="265"/>
      <c r="AP73" s="265"/>
      <c r="AQ73" s="265"/>
      <c r="AR73" s="265"/>
      <c r="AS73" s="265"/>
      <c r="AT73" s="265"/>
      <c r="AU73" s="265"/>
      <c r="AV73" s="265"/>
      <c r="AW73" s="265"/>
      <c r="AX73" s="265"/>
      <c r="AY73" s="265"/>
      <c r="AZ73" s="265"/>
      <c r="BA73" s="265"/>
      <c r="BB73" s="265"/>
      <c r="BC73" s="265"/>
      <c r="BD73" s="265"/>
      <c r="BE73" s="265"/>
    </row>
    <row r="74" spans="2:58" ht="15">
      <c r="C74" s="173" t="s">
        <v>2</v>
      </c>
      <c r="D74" s="174"/>
      <c r="E74" s="175">
        <v>2017</v>
      </c>
      <c r="F74" s="175">
        <v>2018</v>
      </c>
      <c r="G74" s="175">
        <v>2019</v>
      </c>
      <c r="H74" s="173">
        <v>2020</v>
      </c>
      <c r="I74" s="173">
        <v>2021</v>
      </c>
      <c r="J74" s="173">
        <v>2022</v>
      </c>
      <c r="K74" s="173">
        <v>2023</v>
      </c>
      <c r="L74" s="173">
        <v>2024</v>
      </c>
      <c r="M74" s="173">
        <v>2025</v>
      </c>
      <c r="N74" s="173">
        <v>2026</v>
      </c>
      <c r="O74" s="173">
        <v>2027</v>
      </c>
      <c r="P74" s="173">
        <v>2028</v>
      </c>
      <c r="Q74" s="173">
        <v>2029</v>
      </c>
      <c r="R74" s="173">
        <v>2030</v>
      </c>
      <c r="S74" s="173">
        <v>2031</v>
      </c>
      <c r="T74" s="173">
        <v>2032</v>
      </c>
      <c r="U74" s="173">
        <v>2033</v>
      </c>
      <c r="V74" s="173">
        <v>2034</v>
      </c>
      <c r="W74" s="173">
        <v>2035</v>
      </c>
      <c r="X74" t="s">
        <v>3520</v>
      </c>
      <c r="Z74" s="236" t="s">
        <v>2</v>
      </c>
      <c r="AA74" s="245">
        <v>2021</v>
      </c>
      <c r="AB74" s="245">
        <v>2022</v>
      </c>
      <c r="AC74" s="245">
        <v>2023</v>
      </c>
      <c r="AD74" s="245">
        <v>2024</v>
      </c>
      <c r="AE74" s="245">
        <v>2025</v>
      </c>
      <c r="AF74" s="245">
        <v>2026</v>
      </c>
      <c r="AG74" s="245">
        <v>2027</v>
      </c>
      <c r="AH74" s="245">
        <v>2028</v>
      </c>
      <c r="AI74" s="245">
        <v>2029</v>
      </c>
      <c r="AJ74" s="245">
        <v>2030</v>
      </c>
      <c r="AK74" s="245">
        <v>2031</v>
      </c>
      <c r="AL74" s="245">
        <v>2032</v>
      </c>
      <c r="AM74" s="245">
        <v>2033</v>
      </c>
      <c r="AN74" s="245">
        <v>2034</v>
      </c>
      <c r="AO74" s="245">
        <v>2035</v>
      </c>
      <c r="AP74" s="245">
        <v>2036</v>
      </c>
      <c r="AQ74" s="245">
        <v>2037</v>
      </c>
      <c r="AR74" s="245">
        <v>2038</v>
      </c>
      <c r="AS74" s="245">
        <v>2039</v>
      </c>
      <c r="AT74" s="245">
        <v>2040</v>
      </c>
      <c r="AU74" s="245">
        <v>2041</v>
      </c>
      <c r="AV74" s="245">
        <v>2042</v>
      </c>
      <c r="AW74" s="245">
        <v>2043</v>
      </c>
      <c r="AX74" s="245">
        <v>2044</v>
      </c>
      <c r="AY74" s="245">
        <v>2045</v>
      </c>
      <c r="AZ74" s="245">
        <v>2046</v>
      </c>
      <c r="BA74" s="245">
        <v>2047</v>
      </c>
      <c r="BB74" s="245">
        <v>2048</v>
      </c>
      <c r="BC74" s="245">
        <v>2049</v>
      </c>
      <c r="BD74" s="245">
        <v>2050</v>
      </c>
      <c r="BE74" s="245">
        <v>2051</v>
      </c>
      <c r="BF74" s="245" t="s">
        <v>3241</v>
      </c>
    </row>
    <row r="75" spans="2:58" ht="15">
      <c r="C75" s="33" t="s">
        <v>384</v>
      </c>
      <c r="D75" s="33"/>
      <c r="E75" s="235">
        <f t="shared" ref="E75:F75" si="45">E56</f>
        <v>714.71</v>
      </c>
      <c r="F75" s="235">
        <f t="shared" si="45"/>
        <v>1101.164</v>
      </c>
      <c r="G75" s="235">
        <f>G56</f>
        <v>2932.37</v>
      </c>
      <c r="H75" s="169">
        <f t="shared" ref="H75:W75" si="46">H56+H66</f>
        <v>6413.083404216005</v>
      </c>
      <c r="I75" s="169">
        <f t="shared" si="46"/>
        <v>7316.4643588785648</v>
      </c>
      <c r="J75" s="169">
        <f t="shared" si="46"/>
        <v>7389.2892439252946</v>
      </c>
      <c r="K75" s="169">
        <f t="shared" si="46"/>
        <v>7482.5532670617422</v>
      </c>
      <c r="L75" s="169">
        <f t="shared" si="46"/>
        <v>7572.2574060593724</v>
      </c>
      <c r="M75" s="169">
        <f t="shared" si="46"/>
        <v>7676.4428220230166</v>
      </c>
      <c r="N75" s="169">
        <f t="shared" si="46"/>
        <v>7815.8987146908776</v>
      </c>
      <c r="O75" s="169">
        <f t="shared" si="46"/>
        <v>8026.4170612027319</v>
      </c>
      <c r="P75" s="169">
        <f t="shared" si="46"/>
        <v>8289.3536652355178</v>
      </c>
      <c r="Q75" s="169">
        <f t="shared" si="46"/>
        <v>8550.7126496441033</v>
      </c>
      <c r="R75" s="169">
        <f t="shared" si="46"/>
        <v>8810.5034801462389</v>
      </c>
      <c r="S75" s="169">
        <f t="shared" si="46"/>
        <v>8912.7199656653629</v>
      </c>
      <c r="T75" s="169">
        <f t="shared" si="46"/>
        <v>8859.243645871371</v>
      </c>
      <c r="U75" s="169">
        <f t="shared" si="46"/>
        <v>8806.0881839961421</v>
      </c>
      <c r="V75" s="169">
        <f t="shared" si="46"/>
        <v>8753.2516548921667</v>
      </c>
      <c r="W75" s="169">
        <f t="shared" si="46"/>
        <v>8700.7321449628125</v>
      </c>
      <c r="X75" s="210">
        <f>W75/$W$81</f>
        <v>0.27363480008650948</v>
      </c>
      <c r="Y75" s="223"/>
      <c r="Z75" s="33" t="s">
        <v>3526</v>
      </c>
      <c r="AA75" s="243" t="e">
        <f>AA65+AA56</f>
        <v>#REF!</v>
      </c>
      <c r="AB75" s="243" t="e">
        <f t="shared" ref="AB75:BE75" si="47">AB65+AB56</f>
        <v>#REF!</v>
      </c>
      <c r="AC75" s="243" t="e">
        <f t="shared" si="47"/>
        <v>#REF!</v>
      </c>
      <c r="AD75" s="243" t="e">
        <f t="shared" si="47"/>
        <v>#REF!</v>
      </c>
      <c r="AE75" s="243" t="e">
        <f t="shared" si="47"/>
        <v>#REF!</v>
      </c>
      <c r="AF75" s="243" t="e">
        <f t="shared" si="47"/>
        <v>#REF!</v>
      </c>
      <c r="AG75" s="243" t="e">
        <f t="shared" si="47"/>
        <v>#REF!</v>
      </c>
      <c r="AH75" s="243" t="e">
        <f t="shared" si="47"/>
        <v>#REF!</v>
      </c>
      <c r="AI75" s="243" t="e">
        <f t="shared" si="47"/>
        <v>#REF!</v>
      </c>
      <c r="AJ75" s="243">
        <f t="shared" si="47"/>
        <v>34.932358322595931</v>
      </c>
      <c r="AK75" s="243">
        <f t="shared" si="47"/>
        <v>34.722764172660348</v>
      </c>
      <c r="AL75" s="243">
        <f t="shared" si="47"/>
        <v>34.51442758762439</v>
      </c>
      <c r="AM75" s="243">
        <f t="shared" si="47"/>
        <v>34.307341022098647</v>
      </c>
      <c r="AN75" s="243">
        <f t="shared" si="47"/>
        <v>34.10149697596605</v>
      </c>
      <c r="AO75" s="243">
        <f t="shared" si="47"/>
        <v>33.896887994110259</v>
      </c>
      <c r="AP75" s="243">
        <f>AP65</f>
        <v>33.693506666145595</v>
      </c>
      <c r="AQ75" s="243">
        <f t="shared" si="47"/>
        <v>33.491345626148721</v>
      </c>
      <c r="AR75" s="243">
        <f t="shared" si="47"/>
        <v>33.290397552391838</v>
      </c>
      <c r="AS75" s="243">
        <f t="shared" si="47"/>
        <v>33.090655167077486</v>
      </c>
      <c r="AT75" s="243">
        <f t="shared" si="47"/>
        <v>32.892111236075017</v>
      </c>
      <c r="AU75" s="243">
        <f t="shared" si="47"/>
        <v>31.630732272250775</v>
      </c>
      <c r="AV75" s="243">
        <f t="shared" si="47"/>
        <v>28.26057327865438</v>
      </c>
      <c r="AW75" s="243">
        <f t="shared" si="47"/>
        <v>23.874241705529482</v>
      </c>
      <c r="AX75" s="243">
        <f t="shared" si="47"/>
        <v>19.588614200225202</v>
      </c>
      <c r="AY75" s="243">
        <f t="shared" si="47"/>
        <v>15.200666175705997</v>
      </c>
      <c r="AZ75" s="243">
        <f t="shared" si="47"/>
        <v>10.627357807663579</v>
      </c>
      <c r="BA75" s="243">
        <f t="shared" si="47"/>
        <v>5.5496357455699776</v>
      </c>
      <c r="BB75" s="243">
        <f t="shared" si="47"/>
        <v>1.3832341853301293</v>
      </c>
      <c r="BC75" s="243">
        <f t="shared" si="47"/>
        <v>0</v>
      </c>
      <c r="BD75" s="243">
        <f t="shared" si="47"/>
        <v>0</v>
      </c>
      <c r="BE75" s="243">
        <f t="shared" si="47"/>
        <v>0</v>
      </c>
      <c r="BF75" s="239" t="e">
        <f>SUM(AA75:BE75)</f>
        <v>#REF!</v>
      </c>
    </row>
    <row r="76" spans="2:58" ht="15">
      <c r="C76" s="183" t="s">
        <v>3313</v>
      </c>
      <c r="D76" s="183"/>
      <c r="E76" s="183">
        <f t="shared" ref="E76:G80" si="48">E57</f>
        <v>0</v>
      </c>
      <c r="F76" s="183">
        <f t="shared" si="48"/>
        <v>0</v>
      </c>
      <c r="G76" s="183">
        <f t="shared" si="48"/>
        <v>0</v>
      </c>
      <c r="H76" s="184">
        <f t="shared" ref="H76:W76" si="49">H57</f>
        <v>495.46560000000005</v>
      </c>
      <c r="I76" s="184">
        <f t="shared" si="49"/>
        <v>553.81280640000011</v>
      </c>
      <c r="J76" s="184">
        <f t="shared" si="49"/>
        <v>712.62000956160011</v>
      </c>
      <c r="K76" s="184">
        <f t="shared" si="49"/>
        <v>910.09322150423043</v>
      </c>
      <c r="L76" s="184">
        <f t="shared" si="49"/>
        <v>1106.381594175205</v>
      </c>
      <c r="M76" s="184">
        <f t="shared" si="49"/>
        <v>1200.314236610154</v>
      </c>
      <c r="N76" s="184">
        <f t="shared" si="49"/>
        <v>1193.112351190493</v>
      </c>
      <c r="O76" s="184">
        <f t="shared" si="49"/>
        <v>1185.9536770833502</v>
      </c>
      <c r="P76" s="184">
        <f t="shared" si="49"/>
        <v>1178.8379550208499</v>
      </c>
      <c r="Q76" s="184">
        <f t="shared" si="49"/>
        <v>1171.7649272907249</v>
      </c>
      <c r="R76" s="184">
        <f t="shared" si="49"/>
        <v>1164.7343377269806</v>
      </c>
      <c r="S76" s="184">
        <f t="shared" si="49"/>
        <v>1157.7459317006187</v>
      </c>
      <c r="T76" s="184">
        <f t="shared" si="49"/>
        <v>1150.7994561104151</v>
      </c>
      <c r="U76" s="184">
        <f t="shared" si="49"/>
        <v>1143.8946593737526</v>
      </c>
      <c r="V76" s="184">
        <f t="shared" si="49"/>
        <v>1137.0312914175099</v>
      </c>
      <c r="W76" s="184">
        <f t="shared" si="49"/>
        <v>1130.2091036690049</v>
      </c>
      <c r="X76" s="210">
        <f t="shared" ref="X76:X80" si="50">W76/$W$81</f>
        <v>3.5544657275476101E-2</v>
      </c>
      <c r="Y76" s="223"/>
      <c r="Z76" s="33" t="s">
        <v>3313</v>
      </c>
      <c r="AA76" s="243">
        <f>AA57</f>
        <v>65.844336768000019</v>
      </c>
      <c r="AB76" s="243">
        <f t="shared" ref="AB76:AI76" si="51">AB57</f>
        <v>83.283579547392023</v>
      </c>
      <c r="AC76" s="243">
        <f t="shared" si="51"/>
        <v>104.97626059010767</v>
      </c>
      <c r="AD76" s="243">
        <f t="shared" si="51"/>
        <v>126.53878554656701</v>
      </c>
      <c r="AE76" s="243">
        <f t="shared" si="51"/>
        <v>137.668365546567</v>
      </c>
      <c r="AF76" s="243">
        <f t="shared" si="51"/>
        <v>136.84235535328764</v>
      </c>
      <c r="AG76" s="243">
        <f t="shared" si="51"/>
        <v>136.0213012211679</v>
      </c>
      <c r="AH76" s="243">
        <f t="shared" si="51"/>
        <v>135.2051734138409</v>
      </c>
      <c r="AI76" s="243">
        <f t="shared" si="51"/>
        <v>134.39394237335785</v>
      </c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39">
        <f t="shared" ref="BF76:BF80" si="52">SUM(AA76:BE76)</f>
        <v>1060.7741003602878</v>
      </c>
    </row>
    <row r="77" spans="2:58" ht="15">
      <c r="C77" s="33" t="s">
        <v>54</v>
      </c>
      <c r="D77" s="33"/>
      <c r="E77" s="33">
        <f t="shared" si="48"/>
        <v>973.54600000000005</v>
      </c>
      <c r="F77" s="33">
        <f t="shared" si="48"/>
        <v>1181.077</v>
      </c>
      <c r="G77" s="33">
        <f t="shared" si="48"/>
        <v>2021.664</v>
      </c>
      <c r="H77" s="169">
        <f t="shared" ref="H77:W77" si="53">H58+H67</f>
        <v>4240.9372673327307</v>
      </c>
      <c r="I77" s="169">
        <f t="shared" si="53"/>
        <v>5780.5072673327313</v>
      </c>
      <c r="J77" s="169">
        <f t="shared" si="53"/>
        <v>7806.2572673327313</v>
      </c>
      <c r="K77" s="169">
        <f t="shared" si="53"/>
        <v>9102.7372673327318</v>
      </c>
      <c r="L77" s="169">
        <f t="shared" si="53"/>
        <v>9669.9472673327327</v>
      </c>
      <c r="M77" s="169">
        <f t="shared" si="53"/>
        <v>10366.805267332733</v>
      </c>
      <c r="N77" s="169">
        <f t="shared" si="53"/>
        <v>11160.899267332732</v>
      </c>
      <c r="O77" s="169">
        <f t="shared" si="53"/>
        <v>12036.023267332732</v>
      </c>
      <c r="P77" s="169">
        <f t="shared" si="53"/>
        <v>12959.765267332732</v>
      </c>
      <c r="Q77" s="169">
        <f t="shared" si="53"/>
        <v>13899.713267332732</v>
      </c>
      <c r="R77" s="169">
        <f t="shared" si="53"/>
        <v>14839.661267332733</v>
      </c>
      <c r="S77" s="169">
        <f t="shared" si="53"/>
        <v>15779.609267332733</v>
      </c>
      <c r="T77" s="169">
        <f t="shared" si="53"/>
        <v>16249.583267332733</v>
      </c>
      <c r="U77" s="169">
        <f t="shared" si="53"/>
        <v>16249.583267332733</v>
      </c>
      <c r="V77" s="169">
        <f t="shared" si="53"/>
        <v>16249.583267332733</v>
      </c>
      <c r="W77" s="169">
        <f t="shared" si="53"/>
        <v>16249.583267332733</v>
      </c>
      <c r="X77" s="210">
        <f t="shared" si="50"/>
        <v>0.51104336908244019</v>
      </c>
      <c r="Y77" s="223"/>
      <c r="Z77" s="33" t="s">
        <v>54</v>
      </c>
      <c r="AA77" s="243" t="e">
        <f>AA66+AA58</f>
        <v>#REF!</v>
      </c>
      <c r="AB77" s="243" t="e">
        <f t="shared" ref="AB77:BE77" si="54">AB66+AB58</f>
        <v>#REF!</v>
      </c>
      <c r="AC77" s="243" t="e">
        <f t="shared" si="54"/>
        <v>#REF!</v>
      </c>
      <c r="AD77" s="243" t="e">
        <f t="shared" si="54"/>
        <v>#REF!</v>
      </c>
      <c r="AE77" s="243" t="e">
        <f t="shared" si="54"/>
        <v>#REF!</v>
      </c>
      <c r="AF77" s="243" t="e">
        <f t="shared" si="54"/>
        <v>#REF!</v>
      </c>
      <c r="AG77" s="243" t="e">
        <f t="shared" si="54"/>
        <v>#REF!</v>
      </c>
      <c r="AH77" s="243" t="e">
        <f t="shared" si="54"/>
        <v>#REF!</v>
      </c>
      <c r="AI77" s="243" t="e">
        <f t="shared" si="54"/>
        <v>#REF!</v>
      </c>
      <c r="AJ77" s="243">
        <f t="shared" si="54"/>
        <v>239.60877599999998</v>
      </c>
      <c r="AK77" s="243">
        <f t="shared" si="54"/>
        <v>269.22983999999997</v>
      </c>
      <c r="AL77" s="243">
        <f t="shared" si="54"/>
        <v>283.76092799999998</v>
      </c>
      <c r="AM77" s="243">
        <f t="shared" si="54"/>
        <v>283.76092799999998</v>
      </c>
      <c r="AN77" s="243">
        <f t="shared" si="54"/>
        <v>283.76092799999998</v>
      </c>
      <c r="AO77" s="243">
        <f t="shared" si="54"/>
        <v>283.76092799999998</v>
      </c>
      <c r="AP77" s="243">
        <f>AP66</f>
        <v>283.76092799999998</v>
      </c>
      <c r="AQ77" s="243">
        <f t="shared" si="54"/>
        <v>283.76092799999998</v>
      </c>
      <c r="AR77" s="243">
        <f t="shared" si="54"/>
        <v>283.76092799999998</v>
      </c>
      <c r="AS77" s="243">
        <f t="shared" si="54"/>
        <v>283.76092799999998</v>
      </c>
      <c r="AT77" s="243">
        <f t="shared" si="54"/>
        <v>283.76092799999998</v>
      </c>
      <c r="AU77" s="243">
        <f t="shared" si="54"/>
        <v>283.76092799999998</v>
      </c>
      <c r="AV77" s="243">
        <f t="shared" si="54"/>
        <v>279.90652799999998</v>
      </c>
      <c r="AW77" s="243">
        <f t="shared" si="54"/>
        <v>264.77800799999994</v>
      </c>
      <c r="AX77" s="243">
        <f t="shared" si="54"/>
        <v>238.85716799999994</v>
      </c>
      <c r="AY77" s="243">
        <f t="shared" si="54"/>
        <v>207.80997599999995</v>
      </c>
      <c r="AZ77" s="243">
        <f t="shared" si="54"/>
        <v>173.37091199999998</v>
      </c>
      <c r="BA77" s="243">
        <f t="shared" si="54"/>
        <v>139.14384000000001</v>
      </c>
      <c r="BB77" s="243">
        <f t="shared" si="54"/>
        <v>106.74760799999999</v>
      </c>
      <c r="BC77" s="243">
        <f t="shared" si="54"/>
        <v>74.890991999999997</v>
      </c>
      <c r="BD77" s="243">
        <f t="shared" si="54"/>
        <v>44.152151999999994</v>
      </c>
      <c r="BE77" s="243">
        <f t="shared" si="54"/>
        <v>14.531087999999999</v>
      </c>
      <c r="BF77" s="239" t="e">
        <f t="shared" si="52"/>
        <v>#REF!</v>
      </c>
    </row>
    <row r="78" spans="2:58" ht="15">
      <c r="C78" s="33" t="s">
        <v>118</v>
      </c>
      <c r="D78" s="33"/>
      <c r="E78" s="33">
        <f t="shared" si="48"/>
        <v>101.28</v>
      </c>
      <c r="F78" s="33">
        <f t="shared" si="48"/>
        <v>103.111</v>
      </c>
      <c r="G78" s="33">
        <f t="shared" si="48"/>
        <v>162.375</v>
      </c>
      <c r="H78" s="169">
        <f t="shared" ref="H78:W78" si="55">H59+H68</f>
        <v>382.04041919999997</v>
      </c>
      <c r="I78" s="169">
        <f t="shared" si="55"/>
        <v>449.49241919999997</v>
      </c>
      <c r="J78" s="169">
        <f t="shared" si="55"/>
        <v>638.35801920000006</v>
      </c>
      <c r="K78" s="169">
        <f t="shared" si="55"/>
        <v>788.67961920000005</v>
      </c>
      <c r="L78" s="169">
        <f t="shared" si="55"/>
        <v>981.39961919999996</v>
      </c>
      <c r="M78" s="169">
        <f t="shared" si="55"/>
        <v>1174.1196192</v>
      </c>
      <c r="N78" s="169">
        <f t="shared" si="55"/>
        <v>1366.8396192</v>
      </c>
      <c r="O78" s="169">
        <f t="shared" si="55"/>
        <v>1569.1956192</v>
      </c>
      <c r="P78" s="169">
        <f t="shared" si="55"/>
        <v>1781.1876192</v>
      </c>
      <c r="Q78" s="169">
        <f t="shared" si="55"/>
        <v>2002.8156192000001</v>
      </c>
      <c r="R78" s="169">
        <f t="shared" si="55"/>
        <v>2234.0796191999998</v>
      </c>
      <c r="S78" s="169">
        <f t="shared" si="55"/>
        <v>2465.3436191999999</v>
      </c>
      <c r="T78" s="169">
        <f t="shared" si="55"/>
        <v>2580.9756192</v>
      </c>
      <c r="U78" s="169">
        <f t="shared" si="55"/>
        <v>2580.9756192</v>
      </c>
      <c r="V78" s="169">
        <f t="shared" si="55"/>
        <v>2580.9756192</v>
      </c>
      <c r="W78" s="169">
        <f t="shared" si="55"/>
        <v>2580.9756192</v>
      </c>
      <c r="X78" s="210">
        <f t="shared" si="50"/>
        <v>8.1170726304546595E-2</v>
      </c>
      <c r="Y78" s="223"/>
      <c r="Z78" s="33" t="s">
        <v>118</v>
      </c>
      <c r="AA78" s="243" t="e">
        <f t="shared" ref="AA78:BE78" si="56">AA67+AA59</f>
        <v>#REF!</v>
      </c>
      <c r="AB78" s="243" t="e">
        <f t="shared" si="56"/>
        <v>#REF!</v>
      </c>
      <c r="AC78" s="243" t="e">
        <f t="shared" si="56"/>
        <v>#REF!</v>
      </c>
      <c r="AD78" s="243" t="e">
        <f t="shared" si="56"/>
        <v>#REF!</v>
      </c>
      <c r="AE78" s="243" t="e">
        <f t="shared" si="56"/>
        <v>#REF!</v>
      </c>
      <c r="AF78" s="243" t="e">
        <f t="shared" si="56"/>
        <v>#REF!</v>
      </c>
      <c r="AG78" s="243" t="e">
        <f t="shared" si="56"/>
        <v>#REF!</v>
      </c>
      <c r="AH78" s="243" t="e">
        <f t="shared" si="56"/>
        <v>#REF!</v>
      </c>
      <c r="AI78" s="243" t="e">
        <f t="shared" si="56"/>
        <v>#REF!</v>
      </c>
      <c r="AJ78" s="243">
        <f t="shared" si="56"/>
        <v>107.86538399999999</v>
      </c>
      <c r="AK78" s="243">
        <f t="shared" si="56"/>
        <v>122.08811999999999</v>
      </c>
      <c r="AL78" s="243">
        <f t="shared" si="56"/>
        <v>129.141672</v>
      </c>
      <c r="AM78" s="243">
        <f t="shared" si="56"/>
        <v>129.141672</v>
      </c>
      <c r="AN78" s="243">
        <f t="shared" si="56"/>
        <v>129.141672</v>
      </c>
      <c r="AO78" s="243">
        <f t="shared" si="56"/>
        <v>129.141672</v>
      </c>
      <c r="AP78" s="243">
        <f>AP67</f>
        <v>129.141672</v>
      </c>
      <c r="AQ78" s="243">
        <f t="shared" si="56"/>
        <v>129.141672</v>
      </c>
      <c r="AR78" s="243">
        <f t="shared" si="56"/>
        <v>129.141672</v>
      </c>
      <c r="AS78" s="243">
        <f t="shared" si="56"/>
        <v>129.141672</v>
      </c>
      <c r="AT78" s="243">
        <f t="shared" si="56"/>
        <v>129.141672</v>
      </c>
      <c r="AU78" s="243">
        <f t="shared" si="56"/>
        <v>129.141672</v>
      </c>
      <c r="AV78" s="243">
        <f t="shared" si="56"/>
        <v>125.76907199999999</v>
      </c>
      <c r="AW78" s="243">
        <f t="shared" si="56"/>
        <v>115.74763200000001</v>
      </c>
      <c r="AX78" s="243">
        <f t="shared" si="56"/>
        <v>102.546312</v>
      </c>
      <c r="AY78" s="243">
        <f t="shared" si="56"/>
        <v>89.537711999999999</v>
      </c>
      <c r="AZ78" s="243">
        <f t="shared" si="56"/>
        <v>76.721832000000006</v>
      </c>
      <c r="BA78" s="243">
        <f t="shared" si="56"/>
        <v>63.472332000000002</v>
      </c>
      <c r="BB78" s="243">
        <f t="shared" si="56"/>
        <v>49.798848</v>
      </c>
      <c r="BC78" s="243">
        <f t="shared" si="56"/>
        <v>35.730288000000002</v>
      </c>
      <c r="BD78" s="243">
        <f t="shared" si="56"/>
        <v>21.276288000000001</v>
      </c>
      <c r="BE78" s="243">
        <f t="shared" si="56"/>
        <v>7.0535519999999998</v>
      </c>
      <c r="BF78" s="239" t="e">
        <f t="shared" si="52"/>
        <v>#REF!</v>
      </c>
    </row>
    <row r="79" spans="2:58" ht="15">
      <c r="C79" s="33" t="s">
        <v>195</v>
      </c>
      <c r="D79" s="33"/>
      <c r="E79" s="33">
        <f t="shared" si="48"/>
        <v>92.489000000000004</v>
      </c>
      <c r="F79" s="33">
        <f t="shared" si="48"/>
        <v>175.626</v>
      </c>
      <c r="G79" s="33">
        <f t="shared" si="48"/>
        <v>247.422</v>
      </c>
      <c r="H79" s="169">
        <f t="shared" ref="H79:W79" si="57">H60+H69</f>
        <v>377.07980639999994</v>
      </c>
      <c r="I79" s="169">
        <f t="shared" si="57"/>
        <v>446.45900639999991</v>
      </c>
      <c r="J79" s="169">
        <f t="shared" si="57"/>
        <v>629.54300639999997</v>
      </c>
      <c r="K79" s="169">
        <f t="shared" si="57"/>
        <v>745.17500639999992</v>
      </c>
      <c r="L79" s="169">
        <f t="shared" si="57"/>
        <v>928.25900639999986</v>
      </c>
      <c r="M79" s="169">
        <f t="shared" si="57"/>
        <v>1120.9790063999999</v>
      </c>
      <c r="N79" s="169">
        <f t="shared" si="57"/>
        <v>1313.6990063999999</v>
      </c>
      <c r="O79" s="169">
        <f t="shared" si="57"/>
        <v>1516.0550063999999</v>
      </c>
      <c r="P79" s="169">
        <f t="shared" si="57"/>
        <v>1728.0470064000001</v>
      </c>
      <c r="Q79" s="169">
        <f t="shared" si="57"/>
        <v>1949.6750064</v>
      </c>
      <c r="R79" s="169">
        <f t="shared" si="57"/>
        <v>2180.9390063999999</v>
      </c>
      <c r="S79" s="169">
        <f t="shared" si="57"/>
        <v>2412.2030064</v>
      </c>
      <c r="T79" s="169">
        <f t="shared" si="57"/>
        <v>2527.8350064000001</v>
      </c>
      <c r="U79" s="169">
        <f t="shared" si="57"/>
        <v>2527.8350064000001</v>
      </c>
      <c r="V79" s="169">
        <f t="shared" si="57"/>
        <v>2527.8350064000001</v>
      </c>
      <c r="W79" s="169">
        <f t="shared" si="57"/>
        <v>2527.8350064000001</v>
      </c>
      <c r="X79" s="210">
        <f t="shared" si="50"/>
        <v>7.9499473734333748E-2</v>
      </c>
      <c r="Y79" s="223"/>
      <c r="Z79" s="33" t="s">
        <v>195</v>
      </c>
      <c r="AA79" s="243" t="e">
        <f t="shared" ref="AA79:BE79" si="58">AA68+AA60</f>
        <v>#REF!</v>
      </c>
      <c r="AB79" s="243" t="e">
        <f t="shared" si="58"/>
        <v>#REF!</v>
      </c>
      <c r="AC79" s="243" t="e">
        <f t="shared" si="58"/>
        <v>#REF!</v>
      </c>
      <c r="AD79" s="243" t="e">
        <f t="shared" si="58"/>
        <v>#REF!</v>
      </c>
      <c r="AE79" s="243" t="e">
        <f t="shared" si="58"/>
        <v>#REF!</v>
      </c>
      <c r="AF79" s="243" t="e">
        <f t="shared" si="58"/>
        <v>#REF!</v>
      </c>
      <c r="AG79" s="243" t="e">
        <f t="shared" si="58"/>
        <v>#REF!</v>
      </c>
      <c r="AH79" s="243" t="e">
        <f t="shared" si="58"/>
        <v>#REF!</v>
      </c>
      <c r="AI79" s="243" t="e">
        <f t="shared" si="58"/>
        <v>#REF!</v>
      </c>
      <c r="AJ79" s="243">
        <f t="shared" si="58"/>
        <v>105.18657599999999</v>
      </c>
      <c r="AK79" s="243">
        <f t="shared" si="58"/>
        <v>119.40931199999999</v>
      </c>
      <c r="AL79" s="243">
        <f t="shared" si="58"/>
        <v>126.462864</v>
      </c>
      <c r="AM79" s="243">
        <f t="shared" si="58"/>
        <v>126.462864</v>
      </c>
      <c r="AN79" s="243">
        <f t="shared" si="58"/>
        <v>126.462864</v>
      </c>
      <c r="AO79" s="243">
        <f t="shared" si="58"/>
        <v>126.462864</v>
      </c>
      <c r="AP79" s="243">
        <f>AP68</f>
        <v>126.462864</v>
      </c>
      <c r="AQ79" s="243">
        <f t="shared" si="58"/>
        <v>126.462864</v>
      </c>
      <c r="AR79" s="243">
        <f t="shared" si="58"/>
        <v>126.462864</v>
      </c>
      <c r="AS79" s="243">
        <f t="shared" si="58"/>
        <v>126.462864</v>
      </c>
      <c r="AT79" s="243">
        <f t="shared" si="58"/>
        <v>126.462864</v>
      </c>
      <c r="AU79" s="243">
        <f t="shared" si="58"/>
        <v>126.462864</v>
      </c>
      <c r="AV79" s="243">
        <f t="shared" si="58"/>
        <v>123.76478399999999</v>
      </c>
      <c r="AW79" s="243">
        <f t="shared" si="58"/>
        <v>115.08274800000001</v>
      </c>
      <c r="AX79" s="243">
        <f t="shared" si="58"/>
        <v>102.546312</v>
      </c>
      <c r="AY79" s="243">
        <f t="shared" si="58"/>
        <v>89.537711999999999</v>
      </c>
      <c r="AZ79" s="243">
        <f t="shared" si="58"/>
        <v>76.721832000000006</v>
      </c>
      <c r="BA79" s="243">
        <f t="shared" si="58"/>
        <v>63.472332000000002</v>
      </c>
      <c r="BB79" s="243">
        <f t="shared" si="58"/>
        <v>49.798848</v>
      </c>
      <c r="BC79" s="243">
        <f t="shared" si="58"/>
        <v>35.730288000000002</v>
      </c>
      <c r="BD79" s="243">
        <f t="shared" si="58"/>
        <v>21.276288000000001</v>
      </c>
      <c r="BE79" s="243">
        <f t="shared" si="58"/>
        <v>7.0535519999999998</v>
      </c>
      <c r="BF79" s="239" t="e">
        <f t="shared" si="52"/>
        <v>#REF!</v>
      </c>
    </row>
    <row r="80" spans="2:58" ht="15">
      <c r="C80" s="72" t="s">
        <v>2715</v>
      </c>
      <c r="D80" s="72"/>
      <c r="E80" s="72">
        <f t="shared" si="48"/>
        <v>212.53700000000001</v>
      </c>
      <c r="F80" s="72">
        <f t="shared" si="48"/>
        <v>231.017</v>
      </c>
      <c r="G80" s="72">
        <f t="shared" si="48"/>
        <v>241.547</v>
      </c>
      <c r="H80" s="170">
        <f t="shared" ref="H80:W80" si="59">H61+H70</f>
        <v>340.14309120000007</v>
      </c>
      <c r="I80" s="170">
        <f t="shared" si="59"/>
        <v>354.59709120000008</v>
      </c>
      <c r="J80" s="170">
        <f t="shared" si="59"/>
        <v>441.32109120000007</v>
      </c>
      <c r="K80" s="170">
        <f t="shared" si="59"/>
        <v>397.9590912000001</v>
      </c>
      <c r="L80" s="170">
        <f t="shared" si="59"/>
        <v>412.41309120000011</v>
      </c>
      <c r="M80" s="170">
        <f t="shared" si="59"/>
        <v>426.86709120000012</v>
      </c>
      <c r="N80" s="170">
        <f t="shared" si="59"/>
        <v>448.54809120000016</v>
      </c>
      <c r="O80" s="170">
        <f t="shared" si="59"/>
        <v>477.45609120000012</v>
      </c>
      <c r="P80" s="170">
        <f t="shared" si="59"/>
        <v>506.36409120000013</v>
      </c>
      <c r="Q80" s="170">
        <f t="shared" si="59"/>
        <v>535.2720912000002</v>
      </c>
      <c r="R80" s="170">
        <f t="shared" si="59"/>
        <v>564.18009120000011</v>
      </c>
      <c r="S80" s="170">
        <f t="shared" si="59"/>
        <v>593.08809120000024</v>
      </c>
      <c r="T80" s="170">
        <f t="shared" si="59"/>
        <v>607.54209120000019</v>
      </c>
      <c r="U80" s="170">
        <f t="shared" si="59"/>
        <v>607.54209120000019</v>
      </c>
      <c r="V80" s="170">
        <f t="shared" si="59"/>
        <v>607.54209120000019</v>
      </c>
      <c r="W80" s="170">
        <f t="shared" si="59"/>
        <v>607.54209120000019</v>
      </c>
      <c r="X80" s="210">
        <f t="shared" si="50"/>
        <v>1.9106973516693923E-2</v>
      </c>
      <c r="Y80" s="223"/>
      <c r="Z80" s="33" t="s">
        <v>2715</v>
      </c>
      <c r="AA80" s="243" t="e">
        <f t="shared" ref="AA80:BE80" si="60">AA69+AA61</f>
        <v>#REF!</v>
      </c>
      <c r="AB80" s="243" t="e">
        <f t="shared" si="60"/>
        <v>#REF!</v>
      </c>
      <c r="AC80" s="243" t="e">
        <f t="shared" si="60"/>
        <v>#REF!</v>
      </c>
      <c r="AD80" s="243" t="e">
        <f t="shared" si="60"/>
        <v>#REF!</v>
      </c>
      <c r="AE80" s="243" t="e">
        <f t="shared" si="60"/>
        <v>#REF!</v>
      </c>
      <c r="AF80" s="243" t="e">
        <f t="shared" si="60"/>
        <v>#REF!</v>
      </c>
      <c r="AG80" s="243" t="e">
        <f t="shared" si="60"/>
        <v>#REF!</v>
      </c>
      <c r="AH80" s="243" t="e">
        <f t="shared" si="60"/>
        <v>#REF!</v>
      </c>
      <c r="AI80" s="243" t="e">
        <f t="shared" si="60"/>
        <v>#REF!</v>
      </c>
      <c r="AJ80" s="243">
        <f t="shared" si="60"/>
        <v>12.314808000000001</v>
      </c>
      <c r="AK80" s="243">
        <f t="shared" si="60"/>
        <v>14.092650000000001</v>
      </c>
      <c r="AL80" s="243">
        <f t="shared" si="60"/>
        <v>14.974344000000002</v>
      </c>
      <c r="AM80" s="243">
        <f t="shared" si="60"/>
        <v>14.974344000000002</v>
      </c>
      <c r="AN80" s="243">
        <f t="shared" si="60"/>
        <v>14.974344000000002</v>
      </c>
      <c r="AO80" s="243">
        <f t="shared" si="60"/>
        <v>14.974344000000002</v>
      </c>
      <c r="AP80" s="243">
        <f>AP69</f>
        <v>14.974344000000002</v>
      </c>
      <c r="AQ80" s="243">
        <f t="shared" si="60"/>
        <v>14.974344000000002</v>
      </c>
      <c r="AR80" s="243">
        <f t="shared" si="60"/>
        <v>14.974344000000002</v>
      </c>
      <c r="AS80" s="243">
        <f t="shared" si="60"/>
        <v>14.974344000000002</v>
      </c>
      <c r="AT80" s="243">
        <f t="shared" si="60"/>
        <v>14.974344000000002</v>
      </c>
      <c r="AU80" s="243">
        <f t="shared" si="60"/>
        <v>14.974344000000002</v>
      </c>
      <c r="AV80" s="243">
        <f t="shared" si="60"/>
        <v>14.468454000000001</v>
      </c>
      <c r="AW80" s="243">
        <f t="shared" si="60"/>
        <v>13.463901000000003</v>
      </c>
      <c r="AX80" s="243">
        <f t="shared" si="60"/>
        <v>12.473802000000003</v>
      </c>
      <c r="AY80" s="243">
        <f t="shared" si="60"/>
        <v>11.498156999999999</v>
      </c>
      <c r="AZ80" s="243">
        <f t="shared" si="60"/>
        <v>10.059984</v>
      </c>
      <c r="BA80" s="243">
        <f t="shared" si="60"/>
        <v>8.1665100000000006</v>
      </c>
      <c r="BB80" s="243">
        <f t="shared" si="60"/>
        <v>6.3019440000000007</v>
      </c>
      <c r="BC80" s="243">
        <f t="shared" si="60"/>
        <v>4.4662860000000002</v>
      </c>
      <c r="BD80" s="243">
        <f t="shared" si="60"/>
        <v>2.6595360000000001</v>
      </c>
      <c r="BE80" s="243">
        <f t="shared" si="60"/>
        <v>0.88169399999999998</v>
      </c>
      <c r="BF80" s="239" t="e">
        <f t="shared" si="52"/>
        <v>#REF!</v>
      </c>
    </row>
    <row r="81" spans="1:58" ht="15">
      <c r="C81" s="100" t="s">
        <v>3241</v>
      </c>
      <c r="D81" s="100"/>
      <c r="E81" s="171">
        <f t="shared" ref="E81:G81" si="61">SUM(E75:E80)</f>
        <v>2094.5619999999999</v>
      </c>
      <c r="F81" s="171">
        <f t="shared" si="61"/>
        <v>2791.9949999999999</v>
      </c>
      <c r="G81" s="171">
        <f t="shared" si="61"/>
        <v>5605.3779999999988</v>
      </c>
      <c r="H81" s="171">
        <f>SUM(H75:H80)</f>
        <v>12248.749588348735</v>
      </c>
      <c r="I81" s="171">
        <f t="shared" ref="I81:W81" si="62">SUM(I75:I80)</f>
        <v>14901.332949411297</v>
      </c>
      <c r="J81" s="171">
        <f t="shared" si="62"/>
        <v>17617.388637619624</v>
      </c>
      <c r="K81" s="171">
        <f t="shared" si="62"/>
        <v>19427.197472698706</v>
      </c>
      <c r="L81" s="171">
        <f t="shared" si="62"/>
        <v>20670.657984367313</v>
      </c>
      <c r="M81" s="171">
        <f t="shared" si="62"/>
        <v>21965.528042765905</v>
      </c>
      <c r="N81" s="171">
        <f t="shared" si="62"/>
        <v>23298.997050014099</v>
      </c>
      <c r="O81" s="171">
        <f t="shared" si="62"/>
        <v>24811.100722418814</v>
      </c>
      <c r="P81" s="171">
        <f t="shared" si="62"/>
        <v>26443.555604389097</v>
      </c>
      <c r="Q81" s="171">
        <f t="shared" si="62"/>
        <v>28109.953561067563</v>
      </c>
      <c r="R81" s="171">
        <f t="shared" si="62"/>
        <v>29794.097802005948</v>
      </c>
      <c r="S81" s="171">
        <f t="shared" si="62"/>
        <v>31320.709881498715</v>
      </c>
      <c r="T81" s="171">
        <f t="shared" si="62"/>
        <v>31975.979086114519</v>
      </c>
      <c r="U81" s="171">
        <f t="shared" si="62"/>
        <v>31915.918827502628</v>
      </c>
      <c r="V81" s="171">
        <f t="shared" si="62"/>
        <v>31856.21893044241</v>
      </c>
      <c r="W81" s="171">
        <f t="shared" si="62"/>
        <v>31796.877232764549</v>
      </c>
      <c r="Z81" s="166" t="s">
        <v>3241</v>
      </c>
      <c r="AA81" s="238" t="e">
        <f>SUM(AA75:AA80)</f>
        <v>#REF!</v>
      </c>
      <c r="AB81" s="238" t="e">
        <f t="shared" ref="AB81:BE81" si="63">SUM(AB75:AB80)</f>
        <v>#REF!</v>
      </c>
      <c r="AC81" s="238" t="e">
        <f t="shared" si="63"/>
        <v>#REF!</v>
      </c>
      <c r="AD81" s="238" t="e">
        <f t="shared" si="63"/>
        <v>#REF!</v>
      </c>
      <c r="AE81" s="238" t="e">
        <f t="shared" si="63"/>
        <v>#REF!</v>
      </c>
      <c r="AF81" s="238" t="e">
        <f t="shared" si="63"/>
        <v>#REF!</v>
      </c>
      <c r="AG81" s="238" t="e">
        <f t="shared" si="63"/>
        <v>#REF!</v>
      </c>
      <c r="AH81" s="238" t="e">
        <f t="shared" si="63"/>
        <v>#REF!</v>
      </c>
      <c r="AI81" s="238" t="e">
        <f t="shared" si="63"/>
        <v>#REF!</v>
      </c>
      <c r="AJ81" s="238">
        <f t="shared" si="63"/>
        <v>499.90790232259593</v>
      </c>
      <c r="AK81" s="238">
        <f t="shared" si="63"/>
        <v>559.5426861726603</v>
      </c>
      <c r="AL81" s="238">
        <f t="shared" si="63"/>
        <v>588.85423558762432</v>
      </c>
      <c r="AM81" s="238">
        <f t="shared" si="63"/>
        <v>588.64714902209857</v>
      </c>
      <c r="AN81" s="238">
        <f t="shared" si="63"/>
        <v>588.44130497596598</v>
      </c>
      <c r="AO81" s="238">
        <f t="shared" si="63"/>
        <v>588.23669599411016</v>
      </c>
      <c r="AP81" s="238">
        <f>SUM(AP75:AP80)</f>
        <v>588.03331466614554</v>
      </c>
      <c r="AQ81" s="238">
        <f t="shared" si="63"/>
        <v>587.83115362614865</v>
      </c>
      <c r="AR81" s="238">
        <f t="shared" si="63"/>
        <v>587.63020555239177</v>
      </c>
      <c r="AS81" s="238">
        <f t="shared" si="63"/>
        <v>587.43046316707739</v>
      </c>
      <c r="AT81" s="238">
        <f t="shared" si="63"/>
        <v>587.23191923607499</v>
      </c>
      <c r="AU81" s="238">
        <f t="shared" si="63"/>
        <v>585.97054027225067</v>
      </c>
      <c r="AV81" s="238">
        <f t="shared" si="63"/>
        <v>572.16941127865425</v>
      </c>
      <c r="AW81" s="238">
        <f t="shared" si="63"/>
        <v>532.94653070552943</v>
      </c>
      <c r="AX81" s="238">
        <f t="shared" si="63"/>
        <v>476.01220820022513</v>
      </c>
      <c r="AY81" s="238">
        <f t="shared" si="63"/>
        <v>413.58422317570597</v>
      </c>
      <c r="AZ81" s="238">
        <f t="shared" si="63"/>
        <v>347.50191780766357</v>
      </c>
      <c r="BA81" s="238">
        <f t="shared" si="63"/>
        <v>279.80464974557003</v>
      </c>
      <c r="BB81" s="238">
        <f t="shared" si="63"/>
        <v>214.0304821853301</v>
      </c>
      <c r="BC81" s="238">
        <f t="shared" si="63"/>
        <v>150.81785399999998</v>
      </c>
      <c r="BD81" s="238">
        <f t="shared" si="63"/>
        <v>89.364263999999991</v>
      </c>
      <c r="BE81" s="238">
        <f t="shared" si="63"/>
        <v>29.519886</v>
      </c>
      <c r="BF81" s="238" t="e">
        <f>SUM(AA81:BE81)</f>
        <v>#REF!</v>
      </c>
    </row>
    <row r="84" spans="1:58">
      <c r="E84" s="175">
        <v>2017</v>
      </c>
      <c r="F84" s="175">
        <v>2018</v>
      </c>
      <c r="G84" s="175">
        <v>2019</v>
      </c>
      <c r="H84" s="189">
        <v>2020</v>
      </c>
      <c r="I84" s="189">
        <v>2021</v>
      </c>
      <c r="J84" s="189">
        <v>2022</v>
      </c>
      <c r="K84" s="189">
        <v>2023</v>
      </c>
      <c r="L84" s="189">
        <v>2024</v>
      </c>
      <c r="M84" s="189">
        <v>2025</v>
      </c>
      <c r="N84" s="189">
        <v>2026</v>
      </c>
      <c r="O84" s="189">
        <v>2027</v>
      </c>
      <c r="P84" s="189">
        <v>2028</v>
      </c>
      <c r="Q84" s="189">
        <v>2029</v>
      </c>
      <c r="R84" s="189">
        <v>2030</v>
      </c>
      <c r="S84" s="189">
        <v>2031</v>
      </c>
      <c r="T84" s="189">
        <v>2032</v>
      </c>
      <c r="U84" s="189">
        <v>2033</v>
      </c>
      <c r="V84" s="189">
        <v>2034</v>
      </c>
      <c r="W84" s="189">
        <v>2035</v>
      </c>
    </row>
    <row r="85" spans="1:58" ht="38.25">
      <c r="A85" s="273" t="s">
        <v>3502</v>
      </c>
      <c r="B85" s="273"/>
      <c r="C85" s="190" t="s">
        <v>3496</v>
      </c>
      <c r="D85" s="69"/>
      <c r="E85" s="69"/>
      <c r="F85" s="69"/>
      <c r="G85" s="69"/>
      <c r="H85" s="194">
        <v>9000</v>
      </c>
      <c r="I85" s="194">
        <v>9600</v>
      </c>
      <c r="J85" s="194">
        <v>10200</v>
      </c>
      <c r="K85" s="194">
        <v>10800</v>
      </c>
      <c r="L85" s="194">
        <v>11400</v>
      </c>
      <c r="M85" s="194">
        <v>12000</v>
      </c>
      <c r="N85" s="194">
        <v>13200</v>
      </c>
      <c r="O85" s="194">
        <v>14400</v>
      </c>
      <c r="P85" s="194">
        <v>15600</v>
      </c>
      <c r="Q85" s="194">
        <v>16800</v>
      </c>
      <c r="R85" s="194">
        <v>18000</v>
      </c>
      <c r="S85" s="194">
        <v>19400</v>
      </c>
      <c r="T85" s="194">
        <v>20800</v>
      </c>
      <c r="U85" s="194">
        <v>22200</v>
      </c>
      <c r="V85" s="194">
        <v>23600</v>
      </c>
      <c r="W85" s="194">
        <v>25000</v>
      </c>
    </row>
    <row r="86" spans="1:58">
      <c r="C86" s="191" t="s">
        <v>3497</v>
      </c>
      <c r="D86" s="70"/>
      <c r="E86" s="70"/>
      <c r="F86" s="70"/>
      <c r="G86" s="70"/>
      <c r="H86" s="176">
        <f>H81-H85</f>
        <v>3248.7495883487354</v>
      </c>
      <c r="I86" s="176">
        <f t="shared" ref="I86:W86" si="64">I81-I85</f>
        <v>5301.3329494112968</v>
      </c>
      <c r="J86" s="176">
        <f t="shared" si="64"/>
        <v>7417.3886376196242</v>
      </c>
      <c r="K86" s="176">
        <f t="shared" si="64"/>
        <v>8627.1974726987064</v>
      </c>
      <c r="L86" s="176">
        <f t="shared" si="64"/>
        <v>9270.6579843673135</v>
      </c>
      <c r="M86" s="176">
        <f t="shared" si="64"/>
        <v>9965.5280427659054</v>
      </c>
      <c r="N86" s="176">
        <f t="shared" si="64"/>
        <v>10098.997050014099</v>
      </c>
      <c r="O86" s="176">
        <f t="shared" si="64"/>
        <v>10411.100722418814</v>
      </c>
      <c r="P86" s="176">
        <f t="shared" si="64"/>
        <v>10843.555604389097</v>
      </c>
      <c r="Q86" s="176">
        <f t="shared" si="64"/>
        <v>11309.953561067563</v>
      </c>
      <c r="R86" s="176">
        <f t="shared" si="64"/>
        <v>11794.097802005948</v>
      </c>
      <c r="S86" s="176">
        <f t="shared" si="64"/>
        <v>11920.709881498715</v>
      </c>
      <c r="T86" s="176">
        <f t="shared" si="64"/>
        <v>11175.979086114519</v>
      </c>
      <c r="U86" s="176">
        <f t="shared" si="64"/>
        <v>9715.9188275026281</v>
      </c>
      <c r="V86" s="176">
        <f t="shared" si="64"/>
        <v>8256.2189304424101</v>
      </c>
      <c r="W86" s="176">
        <f t="shared" si="64"/>
        <v>6796.8772327645493</v>
      </c>
    </row>
    <row r="87" spans="1:58"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</row>
    <row r="88" spans="1:58" ht="25.5">
      <c r="A88" s="273" t="s">
        <v>3501</v>
      </c>
      <c r="B88" s="273"/>
      <c r="C88" s="188" t="s">
        <v>3500</v>
      </c>
      <c r="D88" s="69"/>
      <c r="E88" s="69"/>
      <c r="F88" s="69"/>
      <c r="G88" s="69"/>
      <c r="H88" s="194">
        <v>164000</v>
      </c>
      <c r="I88" s="194">
        <v>166800</v>
      </c>
      <c r="J88" s="194">
        <v>169600.00000000003</v>
      </c>
      <c r="K88" s="194">
        <v>172400.00000000003</v>
      </c>
      <c r="L88" s="194">
        <v>175200.00000000006</v>
      </c>
      <c r="M88" s="194">
        <v>178000</v>
      </c>
      <c r="N88" s="194">
        <v>179400</v>
      </c>
      <c r="O88" s="194">
        <v>180800</v>
      </c>
      <c r="P88" s="194">
        <v>182200.00000000003</v>
      </c>
      <c r="Q88" s="194">
        <v>183600.00000000003</v>
      </c>
      <c r="R88" s="194">
        <v>185000</v>
      </c>
      <c r="S88" s="194">
        <v>187000</v>
      </c>
      <c r="T88" s="194">
        <v>189000</v>
      </c>
      <c r="U88" s="194">
        <v>191000</v>
      </c>
      <c r="V88" s="194">
        <v>193000</v>
      </c>
      <c r="W88" s="194">
        <v>195000</v>
      </c>
    </row>
    <row r="89" spans="1:58">
      <c r="C89" s="33" t="s">
        <v>3499</v>
      </c>
      <c r="D89" s="33"/>
      <c r="E89" s="33"/>
      <c r="F89" s="33"/>
      <c r="G89" s="33"/>
      <c r="H89" s="169">
        <v>7</v>
      </c>
      <c r="I89" s="169">
        <v>7.6</v>
      </c>
      <c r="J89" s="169">
        <v>8.1999999999999993</v>
      </c>
      <c r="K89" s="169">
        <v>8.7999999999999989</v>
      </c>
      <c r="L89" s="169">
        <v>9.3999999999999986</v>
      </c>
      <c r="M89" s="169">
        <v>10</v>
      </c>
      <c r="N89" s="169">
        <v>10.6</v>
      </c>
      <c r="O89" s="169">
        <v>11.2</v>
      </c>
      <c r="P89" s="169">
        <v>11.799999999999999</v>
      </c>
      <c r="Q89" s="169">
        <v>12.399999999999999</v>
      </c>
      <c r="R89" s="169">
        <v>13</v>
      </c>
      <c r="S89" s="169">
        <v>15.4</v>
      </c>
      <c r="T89" s="169">
        <v>17.8</v>
      </c>
      <c r="U89" s="169">
        <v>20.2</v>
      </c>
      <c r="V89" s="169">
        <v>22.599999999999998</v>
      </c>
      <c r="W89" s="169">
        <v>25</v>
      </c>
    </row>
    <row r="90" spans="1:58">
      <c r="C90" s="33" t="s">
        <v>3498</v>
      </c>
      <c r="D90" s="33"/>
      <c r="E90" s="33"/>
      <c r="F90" s="33"/>
      <c r="G90" s="33"/>
      <c r="H90" s="169">
        <f t="shared" ref="H90:W90" si="65">H89/100*H88</f>
        <v>11480.000000000002</v>
      </c>
      <c r="I90" s="169">
        <f t="shared" si="65"/>
        <v>12676.8</v>
      </c>
      <c r="J90" s="169">
        <f t="shared" si="65"/>
        <v>13907.2</v>
      </c>
      <c r="K90" s="169">
        <f t="shared" si="65"/>
        <v>15171.200000000003</v>
      </c>
      <c r="L90" s="169">
        <f t="shared" si="65"/>
        <v>16468.800000000003</v>
      </c>
      <c r="M90" s="169">
        <f t="shared" si="65"/>
        <v>17800</v>
      </c>
      <c r="N90" s="169">
        <f t="shared" si="65"/>
        <v>19016.399999999998</v>
      </c>
      <c r="O90" s="169">
        <f t="shared" si="65"/>
        <v>20249.599999999999</v>
      </c>
      <c r="P90" s="169">
        <f t="shared" si="65"/>
        <v>21499.600000000002</v>
      </c>
      <c r="Q90" s="169">
        <f t="shared" si="65"/>
        <v>22766.400000000001</v>
      </c>
      <c r="R90" s="169">
        <f t="shared" si="65"/>
        <v>24050</v>
      </c>
      <c r="S90" s="169">
        <f t="shared" si="65"/>
        <v>28798</v>
      </c>
      <c r="T90" s="169">
        <f t="shared" si="65"/>
        <v>33642.000000000007</v>
      </c>
      <c r="U90" s="169">
        <f t="shared" si="65"/>
        <v>38582</v>
      </c>
      <c r="V90" s="169">
        <f t="shared" si="65"/>
        <v>43617.999999999993</v>
      </c>
      <c r="W90" s="169">
        <f t="shared" si="65"/>
        <v>48750</v>
      </c>
    </row>
    <row r="91" spans="1:58" s="163" customFormat="1">
      <c r="C91" s="72" t="s">
        <v>3518</v>
      </c>
      <c r="D91" s="72"/>
      <c r="E91" s="72"/>
      <c r="F91" s="72">
        <v>10429</v>
      </c>
      <c r="G91" s="72">
        <v>6522</v>
      </c>
      <c r="H91" s="170">
        <v>10000</v>
      </c>
      <c r="I91" s="170">
        <v>10400</v>
      </c>
      <c r="J91" s="170">
        <v>10800</v>
      </c>
      <c r="K91" s="170">
        <v>11200</v>
      </c>
      <c r="L91" s="170">
        <v>11600</v>
      </c>
      <c r="M91" s="170">
        <v>12000</v>
      </c>
      <c r="N91" s="170">
        <v>12200</v>
      </c>
      <c r="O91" s="170">
        <v>12400</v>
      </c>
      <c r="P91" s="170">
        <v>12600</v>
      </c>
      <c r="Q91" s="170">
        <v>12800</v>
      </c>
      <c r="R91" s="170">
        <v>13000</v>
      </c>
      <c r="S91" s="170">
        <v>13000</v>
      </c>
      <c r="T91" s="170">
        <v>13000</v>
      </c>
      <c r="U91" s="170">
        <v>13000</v>
      </c>
      <c r="V91" s="170">
        <v>13000</v>
      </c>
      <c r="W91" s="170">
        <v>13000</v>
      </c>
    </row>
    <row r="92" spans="1:58" s="163" customFormat="1">
      <c r="C92" s="72" t="s">
        <v>3503</v>
      </c>
      <c r="D92" s="72"/>
      <c r="E92" s="72"/>
      <c r="F92" s="72"/>
      <c r="G92" s="72"/>
      <c r="H92" s="170">
        <f>H90-H91</f>
        <v>1480.0000000000018</v>
      </c>
      <c r="I92" s="170">
        <f t="shared" ref="I92:W92" si="66">I90-I91</f>
        <v>2276.7999999999993</v>
      </c>
      <c r="J92" s="170">
        <f t="shared" si="66"/>
        <v>3107.2000000000007</v>
      </c>
      <c r="K92" s="170">
        <f t="shared" si="66"/>
        <v>3971.2000000000025</v>
      </c>
      <c r="L92" s="170">
        <f t="shared" si="66"/>
        <v>4868.8000000000029</v>
      </c>
      <c r="M92" s="170">
        <f t="shared" si="66"/>
        <v>5800</v>
      </c>
      <c r="N92" s="170">
        <f t="shared" si="66"/>
        <v>6816.3999999999978</v>
      </c>
      <c r="O92" s="170">
        <f t="shared" si="66"/>
        <v>7849.5999999999985</v>
      </c>
      <c r="P92" s="170">
        <f t="shared" si="66"/>
        <v>8899.6000000000022</v>
      </c>
      <c r="Q92" s="170">
        <f t="shared" si="66"/>
        <v>9966.4000000000015</v>
      </c>
      <c r="R92" s="170">
        <f t="shared" si="66"/>
        <v>11050</v>
      </c>
      <c r="S92" s="170">
        <f t="shared" si="66"/>
        <v>15798</v>
      </c>
      <c r="T92" s="170">
        <f t="shared" si="66"/>
        <v>20642.000000000007</v>
      </c>
      <c r="U92" s="170">
        <f t="shared" si="66"/>
        <v>25582</v>
      </c>
      <c r="V92" s="170">
        <f t="shared" si="66"/>
        <v>30617.999999999993</v>
      </c>
      <c r="W92" s="170">
        <f t="shared" si="66"/>
        <v>35750</v>
      </c>
    </row>
    <row r="93" spans="1:58">
      <c r="C93" s="191" t="s">
        <v>3497</v>
      </c>
      <c r="D93" s="70"/>
      <c r="E93" s="70"/>
      <c r="F93" s="70"/>
      <c r="G93" s="70"/>
      <c r="H93" s="176">
        <f>H81-H92</f>
        <v>10768.749588348734</v>
      </c>
      <c r="I93" s="176">
        <f t="shared" ref="I93:W93" si="67">I81-I92</f>
        <v>12624.532949411298</v>
      </c>
      <c r="J93" s="176">
        <f t="shared" si="67"/>
        <v>14510.188637619623</v>
      </c>
      <c r="K93" s="176">
        <f t="shared" si="67"/>
        <v>15455.997472698704</v>
      </c>
      <c r="L93" s="176">
        <f t="shared" si="67"/>
        <v>15801.857984367311</v>
      </c>
      <c r="M93" s="176">
        <f t="shared" si="67"/>
        <v>16165.528042765905</v>
      </c>
      <c r="N93" s="176">
        <f t="shared" si="67"/>
        <v>16482.597050014101</v>
      </c>
      <c r="O93" s="176">
        <f t="shared" si="67"/>
        <v>16961.500722418816</v>
      </c>
      <c r="P93" s="176">
        <f t="shared" si="67"/>
        <v>17543.955604389095</v>
      </c>
      <c r="Q93" s="176">
        <f t="shared" si="67"/>
        <v>18143.553561067562</v>
      </c>
      <c r="R93" s="176">
        <f t="shared" si="67"/>
        <v>18744.097802005948</v>
      </c>
      <c r="S93" s="176">
        <f t="shared" si="67"/>
        <v>15522.709881498715</v>
      </c>
      <c r="T93" s="176">
        <f t="shared" si="67"/>
        <v>11333.979086114512</v>
      </c>
      <c r="U93" s="176">
        <f t="shared" si="67"/>
        <v>6333.9188275026281</v>
      </c>
      <c r="V93" s="176">
        <f t="shared" si="67"/>
        <v>1238.2189304424173</v>
      </c>
      <c r="W93" s="176">
        <f t="shared" si="67"/>
        <v>-3953.1227672354507</v>
      </c>
    </row>
    <row r="94" spans="1:58"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</row>
    <row r="95" spans="1:58"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</row>
    <row r="96" spans="1:58">
      <c r="H96" s="194">
        <f>H92</f>
        <v>1480.0000000000018</v>
      </c>
      <c r="I96" s="194">
        <f>H96+($W$92-$H$92)/15</f>
        <v>3764.6666666666683</v>
      </c>
      <c r="J96" s="194">
        <f t="shared" ref="J96:W96" si="68">I96+($W$92-$H$92)/15</f>
        <v>6049.3333333333348</v>
      </c>
      <c r="K96" s="194">
        <f t="shared" si="68"/>
        <v>8334.0000000000018</v>
      </c>
      <c r="L96" s="194">
        <f t="shared" si="68"/>
        <v>10618.666666666668</v>
      </c>
      <c r="M96" s="194">
        <f t="shared" si="68"/>
        <v>12903.333333333334</v>
      </c>
      <c r="N96" s="194">
        <f t="shared" si="68"/>
        <v>15188</v>
      </c>
      <c r="O96" s="194">
        <f t="shared" si="68"/>
        <v>17472.666666666668</v>
      </c>
      <c r="P96" s="194">
        <f t="shared" si="68"/>
        <v>19757.333333333336</v>
      </c>
      <c r="Q96" s="194">
        <f t="shared" si="68"/>
        <v>22042.000000000004</v>
      </c>
      <c r="R96" s="194">
        <f t="shared" si="68"/>
        <v>24326.666666666672</v>
      </c>
      <c r="S96" s="194">
        <f t="shared" si="68"/>
        <v>26611.333333333339</v>
      </c>
      <c r="T96" s="194">
        <f t="shared" si="68"/>
        <v>28896.000000000007</v>
      </c>
      <c r="U96" s="194">
        <f t="shared" si="68"/>
        <v>31180.666666666675</v>
      </c>
      <c r="V96" s="194">
        <f t="shared" si="68"/>
        <v>33465.333333333343</v>
      </c>
      <c r="W96" s="194">
        <f t="shared" si="68"/>
        <v>35750.000000000007</v>
      </c>
    </row>
    <row r="97" spans="3:27">
      <c r="C97" s="162" t="s">
        <v>3504</v>
      </c>
      <c r="H97" s="169">
        <f>MAX(H96,H92,H85)</f>
        <v>9000</v>
      </c>
      <c r="I97" s="169">
        <f t="shared" ref="I97:W97" si="69">MAX(I96,I92,I85)</f>
        <v>9600</v>
      </c>
      <c r="J97" s="169">
        <f t="shared" si="69"/>
        <v>10200</v>
      </c>
      <c r="K97" s="169">
        <f t="shared" si="69"/>
        <v>10800</v>
      </c>
      <c r="L97" s="169">
        <f t="shared" si="69"/>
        <v>11400</v>
      </c>
      <c r="M97" s="169">
        <f t="shared" si="69"/>
        <v>12903.333333333334</v>
      </c>
      <c r="N97" s="169">
        <f t="shared" si="69"/>
        <v>15188</v>
      </c>
      <c r="O97" s="169">
        <f t="shared" si="69"/>
        <v>17472.666666666668</v>
      </c>
      <c r="P97" s="169">
        <f t="shared" si="69"/>
        <v>19757.333333333336</v>
      </c>
      <c r="Q97" s="169">
        <f t="shared" si="69"/>
        <v>22042.000000000004</v>
      </c>
      <c r="R97" s="169">
        <f t="shared" si="69"/>
        <v>24326.666666666672</v>
      </c>
      <c r="S97" s="169">
        <f t="shared" si="69"/>
        <v>26611.333333333339</v>
      </c>
      <c r="T97" s="169">
        <f t="shared" si="69"/>
        <v>28896.000000000007</v>
      </c>
      <c r="U97" s="169">
        <f t="shared" si="69"/>
        <v>31180.666666666675</v>
      </c>
      <c r="V97" s="169">
        <f t="shared" si="69"/>
        <v>33465.333333333343</v>
      </c>
      <c r="W97" s="169">
        <f t="shared" si="69"/>
        <v>35750.000000000007</v>
      </c>
    </row>
    <row r="98" spans="3:27">
      <c r="H98" s="176">
        <f>H81-H97</f>
        <v>3248.7495883487354</v>
      </c>
      <c r="I98" s="176">
        <f t="shared" ref="I98:W98" si="70">I81-I97</f>
        <v>5301.3329494112968</v>
      </c>
      <c r="J98" s="176">
        <f t="shared" si="70"/>
        <v>7417.3886376196242</v>
      </c>
      <c r="K98" s="176">
        <f t="shared" si="70"/>
        <v>8627.1974726987064</v>
      </c>
      <c r="L98" s="176">
        <f t="shared" si="70"/>
        <v>9270.6579843673135</v>
      </c>
      <c r="M98" s="176">
        <f t="shared" si="70"/>
        <v>9062.1947094325715</v>
      </c>
      <c r="N98" s="176">
        <f t="shared" si="70"/>
        <v>8110.9970500140989</v>
      </c>
      <c r="O98" s="176">
        <f t="shared" si="70"/>
        <v>7338.4340557521464</v>
      </c>
      <c r="P98" s="176">
        <f t="shared" si="70"/>
        <v>6686.2222710557617</v>
      </c>
      <c r="Q98" s="176">
        <f t="shared" si="70"/>
        <v>6067.9535610675593</v>
      </c>
      <c r="R98" s="176">
        <f t="shared" si="70"/>
        <v>5467.4311353392768</v>
      </c>
      <c r="S98" s="176">
        <f t="shared" si="70"/>
        <v>4709.3765481653754</v>
      </c>
      <c r="T98" s="176">
        <f t="shared" si="70"/>
        <v>3079.979086114512</v>
      </c>
      <c r="U98" s="176">
        <f t="shared" si="70"/>
        <v>735.25216083595296</v>
      </c>
      <c r="V98" s="176">
        <f t="shared" si="70"/>
        <v>-1609.114402890933</v>
      </c>
      <c r="W98" s="176">
        <f t="shared" si="70"/>
        <v>-3953.122767235458</v>
      </c>
    </row>
    <row r="99" spans="3:27" ht="13.5" thickBot="1"/>
    <row r="100" spans="3:27" ht="15.75">
      <c r="C100" s="274" t="s">
        <v>3506</v>
      </c>
      <c r="D100" s="275"/>
      <c r="E100" s="27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6"/>
    </row>
    <row r="101" spans="3:27">
      <c r="C101" s="211" t="s">
        <v>3505</v>
      </c>
      <c r="D101" s="52" t="s">
        <v>3507</v>
      </c>
      <c r="E101" s="52"/>
      <c r="F101" s="52"/>
      <c r="G101" s="52"/>
      <c r="H101" s="212">
        <v>150000</v>
      </c>
      <c r="I101" s="212">
        <v>150750</v>
      </c>
      <c r="J101" s="212">
        <v>151500</v>
      </c>
      <c r="K101" s="212">
        <v>152250</v>
      </c>
      <c r="L101" s="212">
        <v>153000</v>
      </c>
      <c r="M101" s="212">
        <v>154000</v>
      </c>
      <c r="N101" s="212">
        <v>156000</v>
      </c>
      <c r="O101" s="212">
        <v>157500</v>
      </c>
      <c r="P101" s="212">
        <v>159000</v>
      </c>
      <c r="Q101" s="212">
        <v>160500</v>
      </c>
      <c r="R101" s="213">
        <f>FORECAST(R84,$H$101:Q$101,H84:Q$84)</f>
        <v>160933.33333333349</v>
      </c>
      <c r="S101" s="213">
        <f>FORECAST(S84,$H$101:R$101,$H$84:R$84)</f>
        <v>162112.12121212156</v>
      </c>
      <c r="T101" s="213">
        <f>FORECAST(T84,$H$101:S$101,$H$84:S$84)</f>
        <v>163290.90909090918</v>
      </c>
      <c r="U101" s="213">
        <f>FORECAST(U84,$H$101:T$101,$H$84:T$84)</f>
        <v>164469.69696969679</v>
      </c>
      <c r="V101" s="213">
        <f>FORECAST(V84,$H$101:U$101,$H$84:U$84)</f>
        <v>165648.48484848486</v>
      </c>
      <c r="W101" s="214">
        <f>FORECAST(W84,$H$101:V$101,$H$84:V$84)</f>
        <v>166827.27272727247</v>
      </c>
    </row>
    <row r="102" spans="3:27" ht="13.5" thickBot="1">
      <c r="C102" s="200"/>
      <c r="D102" s="130" t="s">
        <v>3508</v>
      </c>
      <c r="E102" s="130"/>
      <c r="F102" s="130"/>
      <c r="G102" s="130"/>
      <c r="H102" s="215">
        <v>158000</v>
      </c>
      <c r="I102" s="215">
        <v>159250</v>
      </c>
      <c r="J102" s="215">
        <v>160500</v>
      </c>
      <c r="K102" s="215">
        <v>161750</v>
      </c>
      <c r="L102" s="215">
        <v>163000</v>
      </c>
      <c r="M102" s="215">
        <v>164250</v>
      </c>
      <c r="N102" s="215">
        <v>165750</v>
      </c>
      <c r="O102" s="215">
        <v>167250</v>
      </c>
      <c r="P102" s="215">
        <v>168750</v>
      </c>
      <c r="Q102" s="215">
        <v>170250</v>
      </c>
      <c r="R102" s="216">
        <f>FORECAST(R84,$H$102:Q$102,H$84:Q84)</f>
        <v>171333.33333333349</v>
      </c>
      <c r="S102" s="216">
        <f>FORECAST(S84,$H$102:R$102,$H$84:R84)</f>
        <v>172689.39393939404</v>
      </c>
      <c r="T102" s="216">
        <f>FORECAST(T84,$H$102:S$102,$H$84:S84)</f>
        <v>174045.45454545459</v>
      </c>
      <c r="U102" s="216">
        <f>FORECAST(U84,$H$102:T$102,$H$84:T84)</f>
        <v>175401.51515151514</v>
      </c>
      <c r="V102" s="216">
        <f>FORECAST(V84,$H$102:U$102,$H$84:U84)</f>
        <v>176757.57575757569</v>
      </c>
      <c r="W102" s="217">
        <f>FORECAST(W84,$H$102:V$102,$H$84:V84)</f>
        <v>178113.63636363624</v>
      </c>
    </row>
    <row r="105" spans="3:27" ht="15">
      <c r="C105" s="264" t="s">
        <v>3512</v>
      </c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3:27">
      <c r="H106" s="189">
        <v>2020</v>
      </c>
      <c r="I106" s="189">
        <v>2021</v>
      </c>
      <c r="J106" s="189">
        <v>2022</v>
      </c>
      <c r="K106" s="189">
        <v>2023</v>
      </c>
      <c r="L106" s="189">
        <v>2024</v>
      </c>
      <c r="M106" s="189">
        <v>2025</v>
      </c>
      <c r="N106" s="189">
        <v>2026</v>
      </c>
      <c r="O106" s="189">
        <v>2027</v>
      </c>
      <c r="P106" s="189">
        <v>2028</v>
      </c>
      <c r="Q106" s="189">
        <v>2029</v>
      </c>
      <c r="R106" s="189">
        <v>2030</v>
      </c>
      <c r="S106" s="189">
        <v>2031</v>
      </c>
      <c r="T106" s="189">
        <v>2032</v>
      </c>
      <c r="U106" s="189">
        <v>2033</v>
      </c>
      <c r="V106" s="189">
        <v>2034</v>
      </c>
      <c r="W106" s="189">
        <v>2035</v>
      </c>
      <c r="Z106" t="s">
        <v>3509</v>
      </c>
    </row>
    <row r="107" spans="3:27" s="163" customFormat="1" ht="13.5" thickBot="1"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Z107"/>
      <c r="AA107"/>
    </row>
    <row r="108" spans="3:27" s="163" customFormat="1">
      <c r="G108" s="197" t="s">
        <v>3516</v>
      </c>
      <c r="H108" s="198">
        <v>147</v>
      </c>
      <c r="I108" s="199">
        <v>150.5</v>
      </c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Z108" t="s">
        <v>3510</v>
      </c>
      <c r="AA108"/>
    </row>
    <row r="109" spans="3:27" s="163" customFormat="1" ht="13.5" thickBot="1">
      <c r="G109" s="200" t="s">
        <v>3515</v>
      </c>
      <c r="H109" s="201">
        <v>143.155</v>
      </c>
      <c r="I109" s="202">
        <v>145</v>
      </c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Z109" s="163" t="s">
        <v>3511</v>
      </c>
      <c r="AA109"/>
    </row>
    <row r="110" spans="3:27" s="163" customFormat="1" ht="25.5">
      <c r="G110" s="164" t="s">
        <v>3513</v>
      </c>
      <c r="H110" s="196"/>
      <c r="I110" s="196">
        <v>151</v>
      </c>
      <c r="J110" s="196">
        <v>152</v>
      </c>
      <c r="K110" s="196">
        <v>153</v>
      </c>
      <c r="L110" s="196">
        <v>154</v>
      </c>
      <c r="M110" s="196">
        <v>154.5</v>
      </c>
      <c r="N110" s="196">
        <v>155</v>
      </c>
      <c r="O110" s="196">
        <v>156</v>
      </c>
      <c r="P110" s="196">
        <v>157</v>
      </c>
      <c r="Q110" s="196">
        <v>157.5</v>
      </c>
      <c r="R110" s="196">
        <v>158.5</v>
      </c>
      <c r="S110" s="196"/>
      <c r="T110" s="196"/>
      <c r="U110" s="196"/>
      <c r="V110" s="196"/>
      <c r="W110" s="196"/>
    </row>
    <row r="111" spans="3:27" s="163" customFormat="1" ht="25.5">
      <c r="G111" s="164" t="s">
        <v>3514</v>
      </c>
      <c r="H111" s="196"/>
      <c r="I111" s="196">
        <v>155</v>
      </c>
      <c r="J111" s="196">
        <v>156</v>
      </c>
      <c r="K111" s="196">
        <v>158</v>
      </c>
      <c r="L111" s="196">
        <v>160</v>
      </c>
      <c r="M111" s="196">
        <v>161.5</v>
      </c>
      <c r="N111" s="196">
        <v>162.5</v>
      </c>
      <c r="O111" s="196">
        <v>164</v>
      </c>
      <c r="P111" s="196">
        <v>166</v>
      </c>
      <c r="Q111" s="196">
        <v>167.5</v>
      </c>
      <c r="R111" s="196">
        <v>169</v>
      </c>
      <c r="S111" s="196"/>
      <c r="T111" s="196"/>
      <c r="U111" s="196"/>
      <c r="V111" s="196"/>
      <c r="W111" s="196"/>
    </row>
    <row r="112" spans="3:27">
      <c r="G112" s="163" t="s">
        <v>54</v>
      </c>
      <c r="H112" s="193">
        <f>H48</f>
        <v>1463.7050000000002</v>
      </c>
      <c r="I112">
        <v>3200</v>
      </c>
      <c r="J112">
        <v>3500</v>
      </c>
      <c r="K112">
        <v>3800</v>
      </c>
      <c r="L112">
        <v>4100</v>
      </c>
      <c r="M112">
        <v>4500</v>
      </c>
      <c r="N112">
        <v>4900</v>
      </c>
      <c r="O112">
        <v>5300</v>
      </c>
      <c r="P112">
        <v>5700</v>
      </c>
      <c r="Q112">
        <v>6100</v>
      </c>
      <c r="R112">
        <v>6500</v>
      </c>
    </row>
    <row r="113" spans="3:26">
      <c r="G113" s="163" t="s">
        <v>384</v>
      </c>
      <c r="H113" s="193">
        <f>H46</f>
        <v>6093.0020000000004</v>
      </c>
      <c r="I113">
        <v>6700</v>
      </c>
      <c r="J113">
        <v>7025</v>
      </c>
      <c r="K113">
        <v>7350</v>
      </c>
      <c r="L113">
        <v>7675</v>
      </c>
      <c r="M113">
        <v>8100</v>
      </c>
      <c r="N113">
        <v>8525</v>
      </c>
      <c r="O113">
        <v>8950</v>
      </c>
      <c r="P113">
        <v>9375</v>
      </c>
      <c r="Q113">
        <v>9800</v>
      </c>
      <c r="R113">
        <v>10225</v>
      </c>
    </row>
    <row r="114" spans="3:26">
      <c r="G114" s="203" t="s">
        <v>54</v>
      </c>
      <c r="H114" s="32">
        <f>H112*0.37*365*24/1000</f>
        <v>4744.1606460000003</v>
      </c>
      <c r="I114" s="32">
        <f t="shared" ref="I114:R114" si="71">I112*0.37*365*24/1000</f>
        <v>10371.84</v>
      </c>
      <c r="J114" s="32">
        <f t="shared" si="71"/>
        <v>11344.2</v>
      </c>
      <c r="K114" s="32">
        <f t="shared" si="71"/>
        <v>12316.56</v>
      </c>
      <c r="L114" s="32">
        <f t="shared" si="71"/>
        <v>13288.92</v>
      </c>
      <c r="M114" s="32">
        <f t="shared" si="71"/>
        <v>14585.4</v>
      </c>
      <c r="N114" s="32">
        <f t="shared" si="71"/>
        <v>15881.88</v>
      </c>
      <c r="O114" s="32">
        <f t="shared" si="71"/>
        <v>17178.36</v>
      </c>
      <c r="P114" s="32">
        <f t="shared" si="71"/>
        <v>18474.84</v>
      </c>
      <c r="Q114" s="32">
        <f t="shared" si="71"/>
        <v>19771.32</v>
      </c>
      <c r="R114" s="32">
        <f t="shared" si="71"/>
        <v>21067.8</v>
      </c>
    </row>
    <row r="115" spans="3:26">
      <c r="G115" s="203" t="s">
        <v>384</v>
      </c>
      <c r="H115" s="32">
        <f>H113*0.137*365*24/1000</f>
        <v>7312.3335602400002</v>
      </c>
      <c r="I115" s="32">
        <f t="shared" ref="I115:R115" si="72">I113*0.137*365*24/1000</f>
        <v>8040.8040000000019</v>
      </c>
      <c r="J115" s="32">
        <f t="shared" si="72"/>
        <v>8430.8430000000008</v>
      </c>
      <c r="K115" s="32">
        <f t="shared" si="72"/>
        <v>8820.8819999999996</v>
      </c>
      <c r="L115" s="32">
        <f t="shared" si="72"/>
        <v>9210.9210000000021</v>
      </c>
      <c r="M115" s="32">
        <f t="shared" si="72"/>
        <v>9720.9719999999998</v>
      </c>
      <c r="N115" s="32">
        <f t="shared" si="72"/>
        <v>10231.023000000001</v>
      </c>
      <c r="O115" s="32">
        <f t="shared" si="72"/>
        <v>10741.074000000002</v>
      </c>
      <c r="P115" s="32">
        <f t="shared" si="72"/>
        <v>11251.125</v>
      </c>
      <c r="Q115" s="32">
        <f t="shared" si="72"/>
        <v>11761.176000000001</v>
      </c>
      <c r="R115" s="32">
        <f t="shared" si="72"/>
        <v>12271.227000000001</v>
      </c>
    </row>
    <row r="119" spans="3:26">
      <c r="C119" t="s">
        <v>3517</v>
      </c>
      <c r="H119" s="194">
        <f>H101</f>
        <v>150000</v>
      </c>
      <c r="I119" s="194">
        <f t="shared" ref="I119:W119" si="73">I101</f>
        <v>150750</v>
      </c>
      <c r="J119" s="194">
        <f t="shared" si="73"/>
        <v>151500</v>
      </c>
      <c r="K119" s="194">
        <f t="shared" si="73"/>
        <v>152250</v>
      </c>
      <c r="L119" s="194">
        <f t="shared" si="73"/>
        <v>153000</v>
      </c>
      <c r="M119" s="194">
        <f t="shared" si="73"/>
        <v>154000</v>
      </c>
      <c r="N119" s="194">
        <f t="shared" si="73"/>
        <v>156000</v>
      </c>
      <c r="O119" s="194">
        <f t="shared" si="73"/>
        <v>157500</v>
      </c>
      <c r="P119" s="194">
        <f t="shared" si="73"/>
        <v>159000</v>
      </c>
      <c r="Q119" s="194">
        <f t="shared" si="73"/>
        <v>160500</v>
      </c>
      <c r="R119" s="194">
        <f t="shared" si="73"/>
        <v>160933.33333333349</v>
      </c>
      <c r="S119" s="194">
        <f t="shared" si="73"/>
        <v>162112.12121212156</v>
      </c>
      <c r="T119" s="194">
        <f t="shared" si="73"/>
        <v>163290.90909090918</v>
      </c>
      <c r="U119" s="194">
        <f t="shared" si="73"/>
        <v>164469.69696969679</v>
      </c>
      <c r="V119" s="194">
        <f t="shared" si="73"/>
        <v>165648.48484848486</v>
      </c>
      <c r="W119" s="194">
        <f t="shared" si="73"/>
        <v>166827.27272727247</v>
      </c>
    </row>
    <row r="120" spans="3:26">
      <c r="F120" s="163" t="s">
        <v>3519</v>
      </c>
      <c r="H120" s="169">
        <f t="shared" ref="H120:V120" si="74">H119/100*H89</f>
        <v>10500</v>
      </c>
      <c r="I120" s="169">
        <f t="shared" si="74"/>
        <v>11457</v>
      </c>
      <c r="J120" s="169">
        <f t="shared" si="74"/>
        <v>12422.999999999998</v>
      </c>
      <c r="K120" s="169">
        <f t="shared" si="74"/>
        <v>13397.999999999998</v>
      </c>
      <c r="L120" s="169">
        <f t="shared" si="74"/>
        <v>14381.999999999998</v>
      </c>
      <c r="M120" s="169">
        <f t="shared" si="74"/>
        <v>15400</v>
      </c>
      <c r="N120" s="169">
        <f t="shared" si="74"/>
        <v>16536</v>
      </c>
      <c r="O120" s="169">
        <f t="shared" si="74"/>
        <v>17640</v>
      </c>
      <c r="P120" s="169">
        <f t="shared" si="74"/>
        <v>18762</v>
      </c>
      <c r="Q120" s="169">
        <f t="shared" si="74"/>
        <v>19901.999999999996</v>
      </c>
      <c r="R120" s="169">
        <f t="shared" si="74"/>
        <v>20921.333333333354</v>
      </c>
      <c r="S120" s="169">
        <f t="shared" si="74"/>
        <v>24965.266666666721</v>
      </c>
      <c r="T120" s="169">
        <f t="shared" si="74"/>
        <v>29065.781818181833</v>
      </c>
      <c r="U120" s="169">
        <f t="shared" si="74"/>
        <v>33222.878787878748</v>
      </c>
      <c r="V120" s="169">
        <f t="shared" si="74"/>
        <v>37436.557575757579</v>
      </c>
      <c r="W120" s="169">
        <f>W119/100*W89</f>
        <v>41706.818181818118</v>
      </c>
    </row>
    <row r="121" spans="3:26">
      <c r="E121" s="218" t="s">
        <v>3518</v>
      </c>
      <c r="F121" s="163">
        <v>10429</v>
      </c>
      <c r="G121" s="163">
        <v>6522</v>
      </c>
      <c r="H121" s="169">
        <v>5278</v>
      </c>
      <c r="I121" s="169">
        <v>5570</v>
      </c>
      <c r="J121" s="169">
        <f>FORECAST(J84,$H$121:I121,$H$84:I84)</f>
        <v>5862</v>
      </c>
      <c r="K121" s="169">
        <f>FORECAST(K84,$H$121:J121,$H$84:J84)</f>
        <v>6154</v>
      </c>
      <c r="L121" s="169">
        <f>FORECAST(L84,$H$121:K121,$H$84:K84)</f>
        <v>6446</v>
      </c>
      <c r="M121" s="169">
        <f>FORECAST(M84,$H$121:L121,$H$84:L84)</f>
        <v>6738</v>
      </c>
      <c r="N121" s="169">
        <f>FORECAST(N84,$H$121:M121,$H$84:M84)</f>
        <v>7030</v>
      </c>
      <c r="O121" s="169">
        <f>FORECAST(O84,$H$121:N121,$H$84:N84)</f>
        <v>7322</v>
      </c>
      <c r="P121" s="169">
        <f>FORECAST(P84,$H$121:O121,$H$84:O84)</f>
        <v>7614</v>
      </c>
      <c r="Q121" s="169">
        <f>FORECAST(Q84,$H$121:P121,$H$84:P84)</f>
        <v>7906</v>
      </c>
      <c r="R121" s="169">
        <f>FORECAST(R84,$H$121:Q121,$H$84:Q84)</f>
        <v>8198</v>
      </c>
      <c r="S121" s="169">
        <f>FORECAST(S84,$H$121:R121,$H$84:R84)</f>
        <v>8490</v>
      </c>
      <c r="T121" s="169">
        <f>FORECAST(T84,$H$121:S121,$H$84:S84)</f>
        <v>8782</v>
      </c>
      <c r="U121" s="169">
        <f>FORECAST(U84,$H$121:T121,$H$84:T84)</f>
        <v>9074</v>
      </c>
      <c r="V121" s="169">
        <f>FORECAST(V84,$H$121:U121,$H$84:U84)</f>
        <v>9366</v>
      </c>
      <c r="W121" s="169">
        <f>FORECAST(W84,$H$121:V121,$H$84:V84)</f>
        <v>9658</v>
      </c>
    </row>
    <row r="122" spans="3:26">
      <c r="E122" s="163" t="s">
        <v>3503</v>
      </c>
      <c r="H122" s="170">
        <f>H120-H121</f>
        <v>5222</v>
      </c>
      <c r="I122" s="170">
        <f t="shared" ref="I122:W122" si="75">I120-I121</f>
        <v>5887</v>
      </c>
      <c r="J122" s="170">
        <f t="shared" si="75"/>
        <v>6560.9999999999982</v>
      </c>
      <c r="K122" s="170">
        <f t="shared" si="75"/>
        <v>7243.9999999999982</v>
      </c>
      <c r="L122" s="170">
        <f t="shared" si="75"/>
        <v>7935.9999999999982</v>
      </c>
      <c r="M122" s="170">
        <f t="shared" si="75"/>
        <v>8662</v>
      </c>
      <c r="N122" s="170">
        <f t="shared" si="75"/>
        <v>9506</v>
      </c>
      <c r="O122" s="170">
        <f t="shared" si="75"/>
        <v>10318</v>
      </c>
      <c r="P122" s="170">
        <f t="shared" si="75"/>
        <v>11148</v>
      </c>
      <c r="Q122" s="170">
        <f t="shared" si="75"/>
        <v>11995.999999999996</v>
      </c>
      <c r="R122" s="170">
        <f t="shared" si="75"/>
        <v>12723.333333333354</v>
      </c>
      <c r="S122" s="170">
        <f t="shared" si="75"/>
        <v>16475.266666666721</v>
      </c>
      <c r="T122" s="170">
        <f t="shared" si="75"/>
        <v>20283.781818181833</v>
      </c>
      <c r="U122" s="170">
        <f t="shared" si="75"/>
        <v>24148.878787878748</v>
      </c>
      <c r="V122" s="170">
        <f t="shared" si="75"/>
        <v>28070.557575757579</v>
      </c>
      <c r="W122" s="170">
        <f t="shared" si="75"/>
        <v>32048.818181818118</v>
      </c>
    </row>
    <row r="123" spans="3:26">
      <c r="H123" s="176">
        <f t="shared" ref="H123:V123" si="76">H81-H122</f>
        <v>7026.7495883487354</v>
      </c>
      <c r="I123" s="176">
        <f t="shared" si="76"/>
        <v>9014.3329494112968</v>
      </c>
      <c r="J123" s="176">
        <f t="shared" si="76"/>
        <v>11056.388637619626</v>
      </c>
      <c r="K123" s="176">
        <f t="shared" si="76"/>
        <v>12183.197472698708</v>
      </c>
      <c r="L123" s="176">
        <f t="shared" si="76"/>
        <v>12734.657984367315</v>
      </c>
      <c r="M123" s="176">
        <f t="shared" si="76"/>
        <v>13303.528042765905</v>
      </c>
      <c r="N123" s="176">
        <f t="shared" si="76"/>
        <v>13792.997050014099</v>
      </c>
      <c r="O123" s="176">
        <f t="shared" si="76"/>
        <v>14493.100722418814</v>
      </c>
      <c r="P123" s="176">
        <f t="shared" si="76"/>
        <v>15295.555604389097</v>
      </c>
      <c r="Q123" s="176">
        <f t="shared" si="76"/>
        <v>16113.953561067567</v>
      </c>
      <c r="R123" s="176">
        <f t="shared" si="76"/>
        <v>17070.764468672594</v>
      </c>
      <c r="S123" s="176">
        <f t="shared" si="76"/>
        <v>14845.443214831994</v>
      </c>
      <c r="T123" s="176">
        <f t="shared" si="76"/>
        <v>11692.197267932686</v>
      </c>
      <c r="U123" s="176">
        <f t="shared" si="76"/>
        <v>7767.0400396238801</v>
      </c>
      <c r="V123" s="176">
        <f t="shared" si="76"/>
        <v>3785.6613546848312</v>
      </c>
      <c r="W123" s="176">
        <f>W81-W122</f>
        <v>-251.94094905356906</v>
      </c>
    </row>
    <row r="126" spans="3:26">
      <c r="H126" s="106">
        <f>H81</f>
        <v>12248.749588348735</v>
      </c>
      <c r="I126" s="106">
        <f>I81</f>
        <v>14901.332949411297</v>
      </c>
      <c r="J126" s="106">
        <f t="shared" ref="J126:W126" si="77">J81</f>
        <v>17617.388637619624</v>
      </c>
      <c r="K126" s="106">
        <f t="shared" si="77"/>
        <v>19427.197472698706</v>
      </c>
      <c r="L126" s="106">
        <f t="shared" si="77"/>
        <v>20670.657984367313</v>
      </c>
      <c r="M126" s="106">
        <f t="shared" si="77"/>
        <v>21965.528042765905</v>
      </c>
      <c r="N126" s="106">
        <f t="shared" si="77"/>
        <v>23298.997050014099</v>
      </c>
      <c r="O126" s="106">
        <f t="shared" si="77"/>
        <v>24811.100722418814</v>
      </c>
      <c r="P126" s="106">
        <f t="shared" si="77"/>
        <v>26443.555604389097</v>
      </c>
      <c r="Q126" s="106">
        <f t="shared" si="77"/>
        <v>28109.953561067563</v>
      </c>
      <c r="R126" s="106">
        <f t="shared" si="77"/>
        <v>29794.097802005948</v>
      </c>
      <c r="S126" s="106">
        <f t="shared" si="77"/>
        <v>31320.709881498715</v>
      </c>
      <c r="T126" s="106">
        <f t="shared" si="77"/>
        <v>31975.979086114519</v>
      </c>
      <c r="U126" s="106">
        <f t="shared" si="77"/>
        <v>31915.918827502628</v>
      </c>
      <c r="V126" s="106">
        <f t="shared" si="77"/>
        <v>31856.21893044241</v>
      </c>
      <c r="W126" s="106">
        <f t="shared" si="77"/>
        <v>31796.877232764549</v>
      </c>
    </row>
    <row r="127" spans="3:26">
      <c r="H127" s="106">
        <f>H121</f>
        <v>5278</v>
      </c>
      <c r="I127" s="106">
        <f>I121</f>
        <v>5570</v>
      </c>
      <c r="J127" s="106">
        <f t="shared" ref="J127:W127" si="78">J121</f>
        <v>5862</v>
      </c>
      <c r="K127" s="106">
        <f t="shared" si="78"/>
        <v>6154</v>
      </c>
      <c r="L127" s="106">
        <f t="shared" si="78"/>
        <v>6446</v>
      </c>
      <c r="M127" s="106">
        <f t="shared" si="78"/>
        <v>6738</v>
      </c>
      <c r="N127" s="106">
        <f t="shared" si="78"/>
        <v>7030</v>
      </c>
      <c r="O127" s="106">
        <f t="shared" si="78"/>
        <v>7322</v>
      </c>
      <c r="P127" s="106">
        <f t="shared" si="78"/>
        <v>7614</v>
      </c>
      <c r="Q127" s="106">
        <f t="shared" si="78"/>
        <v>7906</v>
      </c>
      <c r="R127" s="106">
        <f t="shared" si="78"/>
        <v>8198</v>
      </c>
      <c r="S127" s="106">
        <f t="shared" si="78"/>
        <v>8490</v>
      </c>
      <c r="T127" s="106">
        <f t="shared" si="78"/>
        <v>8782</v>
      </c>
      <c r="U127" s="106">
        <f t="shared" si="78"/>
        <v>9074</v>
      </c>
      <c r="V127" s="106">
        <f t="shared" si="78"/>
        <v>9366</v>
      </c>
      <c r="W127" s="106">
        <f t="shared" si="78"/>
        <v>9658</v>
      </c>
    </row>
    <row r="128" spans="3:26">
      <c r="H128" s="106">
        <f>H126+H127</f>
        <v>17526.749588348735</v>
      </c>
      <c r="I128" s="106">
        <f t="shared" ref="I128:W128" si="79">I126+I127</f>
        <v>20471.332949411299</v>
      </c>
      <c r="J128" s="106">
        <f t="shared" si="79"/>
        <v>23479.388637619624</v>
      </c>
      <c r="K128" s="106">
        <f t="shared" si="79"/>
        <v>25581.197472698706</v>
      </c>
      <c r="L128" s="106">
        <f t="shared" si="79"/>
        <v>27116.657984367313</v>
      </c>
      <c r="M128" s="106">
        <f t="shared" si="79"/>
        <v>28703.528042765905</v>
      </c>
      <c r="N128" s="106">
        <f t="shared" si="79"/>
        <v>30328.997050014099</v>
      </c>
      <c r="O128" s="106">
        <f t="shared" si="79"/>
        <v>32133.100722418814</v>
      </c>
      <c r="P128" s="106">
        <f t="shared" si="79"/>
        <v>34057.555604389097</v>
      </c>
      <c r="Q128" s="106">
        <f t="shared" si="79"/>
        <v>36015.953561067567</v>
      </c>
      <c r="R128" s="106">
        <f t="shared" si="79"/>
        <v>37992.097802005948</v>
      </c>
      <c r="S128" s="106">
        <f t="shared" si="79"/>
        <v>39810.709881498711</v>
      </c>
      <c r="T128" s="106">
        <f t="shared" si="79"/>
        <v>40757.979086114516</v>
      </c>
      <c r="U128" s="106">
        <f t="shared" si="79"/>
        <v>40989.918827502624</v>
      </c>
      <c r="V128" s="106">
        <f t="shared" si="79"/>
        <v>41222.21893044241</v>
      </c>
      <c r="W128" s="106">
        <f t="shared" si="79"/>
        <v>41454.877232764549</v>
      </c>
      <c r="Z128" s="106">
        <f>W130-I130</f>
        <v>21235.48523240682</v>
      </c>
    </row>
    <row r="129" spans="8:29" s="163" customFormat="1">
      <c r="H129" s="206">
        <f>H128/H119</f>
        <v>0.11684499725565824</v>
      </c>
      <c r="I129" s="206">
        <f t="shared" ref="I129:W129" si="80">I128/I119</f>
        <v>0.13579657014534857</v>
      </c>
      <c r="J129" s="206">
        <f t="shared" si="80"/>
        <v>0.15497946295458498</v>
      </c>
      <c r="K129" s="206">
        <f t="shared" si="80"/>
        <v>0.16802100146271728</v>
      </c>
      <c r="L129" s="206">
        <f t="shared" si="80"/>
        <v>0.177233058721355</v>
      </c>
      <c r="M129" s="206">
        <f t="shared" si="80"/>
        <v>0.18638654573224614</v>
      </c>
      <c r="N129" s="206">
        <f t="shared" si="80"/>
        <v>0.19441664775650064</v>
      </c>
      <c r="O129" s="206">
        <f t="shared" si="80"/>
        <v>0.20401968712646867</v>
      </c>
      <c r="P129" s="206">
        <f t="shared" si="80"/>
        <v>0.21419846292068614</v>
      </c>
      <c r="Q129" s="206">
        <f t="shared" si="80"/>
        <v>0.22439846455493812</v>
      </c>
      <c r="R129" s="206">
        <f t="shared" si="80"/>
        <v>0.23607351575397212</v>
      </c>
      <c r="S129" s="206">
        <f t="shared" si="80"/>
        <v>0.24557515862374613</v>
      </c>
      <c r="T129" s="206">
        <f t="shared" si="80"/>
        <v>0.24960347953861453</v>
      </c>
      <c r="U129" s="206">
        <f t="shared" si="80"/>
        <v>0.24922474828329583</v>
      </c>
      <c r="V129" s="206">
        <f t="shared" si="80"/>
        <v>0.24885358274268246</v>
      </c>
      <c r="W129" s="206">
        <f t="shared" si="80"/>
        <v>0.24848980958008324</v>
      </c>
      <c r="Z129" s="106"/>
    </row>
    <row r="130" spans="8:29">
      <c r="H130" s="106">
        <f>H126+H127</f>
        <v>17526.749588348735</v>
      </c>
      <c r="I130" s="106">
        <f>I126+I127</f>
        <v>20471.332949411299</v>
      </c>
      <c r="J130">
        <f>I130+$Z$128/14</f>
        <v>21988.153323154642</v>
      </c>
      <c r="K130" s="163">
        <f t="shared" ref="K130:V130" si="81">J130+$Z$128/13</f>
        <v>23621.652187185937</v>
      </c>
      <c r="L130" s="163">
        <f t="shared" si="81"/>
        <v>25255.151051217232</v>
      </c>
      <c r="M130" s="163">
        <f t="shared" si="81"/>
        <v>26888.649915248527</v>
      </c>
      <c r="N130" s="163">
        <f t="shared" si="81"/>
        <v>28522.148779279822</v>
      </c>
      <c r="O130" s="163">
        <f t="shared" si="81"/>
        <v>30155.647643311117</v>
      </c>
      <c r="P130" s="163">
        <f t="shared" si="81"/>
        <v>31789.146507342411</v>
      </c>
      <c r="Q130" s="163">
        <f t="shared" si="81"/>
        <v>33422.645371373706</v>
      </c>
      <c r="R130" s="163">
        <f t="shared" si="81"/>
        <v>35056.144235405001</v>
      </c>
      <c r="S130" s="163">
        <f t="shared" si="81"/>
        <v>36689.643099436296</v>
      </c>
      <c r="T130" s="163">
        <f t="shared" si="81"/>
        <v>38323.141963467591</v>
      </c>
      <c r="U130" s="163">
        <f t="shared" si="81"/>
        <v>39956.640827498886</v>
      </c>
      <c r="V130" s="163">
        <f t="shared" si="81"/>
        <v>41590.139691530181</v>
      </c>
      <c r="W130" s="205">
        <f>W120</f>
        <v>41706.818181818118</v>
      </c>
    </row>
    <row r="131" spans="8:29">
      <c r="H131" s="204">
        <f t="shared" ref="H131:W131" si="82">H130/H119</f>
        <v>0.11684499725565824</v>
      </c>
      <c r="I131" s="204">
        <f t="shared" si="82"/>
        <v>0.13579657014534857</v>
      </c>
      <c r="J131" s="204">
        <f t="shared" si="82"/>
        <v>0.14513632556537717</v>
      </c>
      <c r="K131" s="204">
        <f t="shared" si="82"/>
        <v>0.15515042487478448</v>
      </c>
      <c r="L131" s="204">
        <f t="shared" si="82"/>
        <v>0.16506634673998191</v>
      </c>
      <c r="M131" s="204">
        <f t="shared" si="82"/>
        <v>0.17460162282628913</v>
      </c>
      <c r="N131" s="204">
        <f t="shared" si="82"/>
        <v>0.18283428704666552</v>
      </c>
      <c r="O131" s="204">
        <f t="shared" si="82"/>
        <v>0.19146442948134043</v>
      </c>
      <c r="P131" s="204">
        <f t="shared" si="82"/>
        <v>0.19993173903988937</v>
      </c>
      <c r="Q131" s="204">
        <f t="shared" si="82"/>
        <v>0.20824078113005426</v>
      </c>
      <c r="R131" s="204">
        <f t="shared" si="82"/>
        <v>0.21783022515786019</v>
      </c>
      <c r="S131" s="204">
        <f t="shared" si="82"/>
        <v>0.22632263907908765</v>
      </c>
      <c r="T131" s="204">
        <f t="shared" si="82"/>
        <v>0.23469244048443563</v>
      </c>
      <c r="U131" s="204">
        <f t="shared" si="82"/>
        <v>0.24294226574066599</v>
      </c>
      <c r="V131" s="204">
        <f t="shared" si="82"/>
        <v>0.25107467617087953</v>
      </c>
      <c r="W131" s="204">
        <f t="shared" si="82"/>
        <v>0.25</v>
      </c>
    </row>
    <row r="133" spans="8:29">
      <c r="W133" s="106">
        <f>W130-W128</f>
        <v>251.94094905356906</v>
      </c>
      <c r="X133" s="106"/>
      <c r="Y133" s="106"/>
    </row>
    <row r="134" spans="8:29">
      <c r="W134" s="106">
        <v>11196.530344533527</v>
      </c>
      <c r="X134" s="106">
        <f>$W$134/0.137/365/24*1000</f>
        <v>9329.5090028776503</v>
      </c>
      <c r="Y134" s="106"/>
      <c r="Z134">
        <v>0.2</v>
      </c>
      <c r="AA134" s="32">
        <f>Z134*X134</f>
        <v>1865.9018005755302</v>
      </c>
      <c r="AB134">
        <f>AA134*0.137*365*24/1000</f>
        <v>2239.3060689067051</v>
      </c>
    </row>
    <row r="135" spans="8:29">
      <c r="X135" s="106">
        <f>$W$134/0.37/365/24*1000</f>
        <v>3454.4398199844277</v>
      </c>
      <c r="Y135" s="106"/>
      <c r="Z135">
        <v>0.6</v>
      </c>
      <c r="AA135" s="32">
        <f t="shared" ref="AA135:AA136" si="83">Z135*X135</f>
        <v>2072.6638919906563</v>
      </c>
      <c r="AB135" s="163">
        <f>AA135*0.37*365*24/1000</f>
        <v>6717.9182067201145</v>
      </c>
    </row>
    <row r="136" spans="8:29">
      <c r="X136" s="106">
        <f>$W$134/0.44/365/24*1000</f>
        <v>2904.8698486232688</v>
      </c>
      <c r="Y136" s="106"/>
      <c r="Z136">
        <v>0.2</v>
      </c>
      <c r="AA136" s="32">
        <f t="shared" si="83"/>
        <v>580.97396972465378</v>
      </c>
      <c r="AB136" s="163">
        <f>AA136*0.44*365*24/1000</f>
        <v>2239.3060689067051</v>
      </c>
    </row>
    <row r="137" spans="8:29">
      <c r="X137" s="106"/>
      <c r="Y137" s="106"/>
      <c r="AB137">
        <f>SUM(AB134:AB136)</f>
        <v>11196.530344533527</v>
      </c>
      <c r="AC137" s="106">
        <f>AB137-W134</f>
        <v>0</v>
      </c>
    </row>
    <row r="138" spans="8:29">
      <c r="X138" s="106"/>
      <c r="Y138" s="106"/>
    </row>
    <row r="139" spans="8:29">
      <c r="X139" s="106"/>
      <c r="Y139" s="106"/>
    </row>
    <row r="140" spans="8:29">
      <c r="X140" s="106"/>
      <c r="Y140" s="106"/>
    </row>
    <row r="141" spans="8:29">
      <c r="X141" s="106"/>
      <c r="Y141" s="106"/>
    </row>
    <row r="142" spans="8:29">
      <c r="X142" s="106"/>
      <c r="Y142" s="106"/>
    </row>
    <row r="143" spans="8:29">
      <c r="X143" s="106"/>
      <c r="Y143" s="106"/>
    </row>
    <row r="144" spans="8:29">
      <c r="X144" s="106"/>
      <c r="Y144" s="106"/>
    </row>
    <row r="145" spans="24:25">
      <c r="X145" s="106"/>
      <c r="Y145" s="106"/>
    </row>
    <row r="146" spans="24:25">
      <c r="X146" s="106"/>
      <c r="Y146" s="106"/>
    </row>
    <row r="147" spans="24:25">
      <c r="X147" s="106"/>
      <c r="Y147" s="106"/>
    </row>
    <row r="148" spans="24:25">
      <c r="X148" s="106"/>
      <c r="Y148" s="106"/>
    </row>
  </sheetData>
  <mergeCells count="15">
    <mergeCell ref="C105:W105"/>
    <mergeCell ref="C25:W25"/>
    <mergeCell ref="C44:W44"/>
    <mergeCell ref="C35:W35"/>
    <mergeCell ref="C3:W3"/>
    <mergeCell ref="C54:W54"/>
    <mergeCell ref="A88:B88"/>
    <mergeCell ref="A85:B85"/>
    <mergeCell ref="C100:W100"/>
    <mergeCell ref="Z73:BE73"/>
    <mergeCell ref="AQ62:BE62"/>
    <mergeCell ref="AA54:AP54"/>
    <mergeCell ref="C13:W13"/>
    <mergeCell ref="C64:W64"/>
    <mergeCell ref="C73:W73"/>
  </mergeCells>
  <conditionalFormatting sqref="H86:W8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93:W9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98:W9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123:W1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B64"/>
  <sheetViews>
    <sheetView topLeftCell="A25" zoomScale="70" zoomScaleNormal="70" workbookViewId="0">
      <selection activeCell="I38" sqref="I38"/>
    </sheetView>
  </sheetViews>
  <sheetFormatPr defaultRowHeight="12.75"/>
  <cols>
    <col min="2" max="2" width="23.140625" customWidth="1"/>
  </cols>
  <sheetData>
    <row r="3" spans="2:2">
      <c r="B3" s="105" t="s">
        <v>3315</v>
      </c>
    </row>
    <row r="4" spans="2:2">
      <c r="B4" t="s">
        <v>5</v>
      </c>
    </row>
    <row r="5" spans="2:2">
      <c r="B5" t="s">
        <v>198</v>
      </c>
    </row>
    <row r="6" spans="2:2">
      <c r="B6" t="s">
        <v>255</v>
      </c>
    </row>
    <row r="7" spans="2:2">
      <c r="B7" t="s">
        <v>122</v>
      </c>
    </row>
    <row r="8" spans="2:2">
      <c r="B8" t="s">
        <v>56</v>
      </c>
    </row>
    <row r="9" spans="2:2">
      <c r="B9" t="s">
        <v>176</v>
      </c>
    </row>
    <row r="10" spans="2:2">
      <c r="B10" t="s">
        <v>233</v>
      </c>
    </row>
    <row r="11" spans="2:2">
      <c r="B11" t="s">
        <v>69</v>
      </c>
    </row>
    <row r="12" spans="2:2">
      <c r="B12" t="s">
        <v>65</v>
      </c>
    </row>
    <row r="13" spans="2:2">
      <c r="B13" t="s">
        <v>107</v>
      </c>
    </row>
    <row r="14" spans="2:2">
      <c r="B14" t="s">
        <v>136</v>
      </c>
    </row>
    <row r="15" spans="2:2">
      <c r="B15" t="s">
        <v>85</v>
      </c>
    </row>
    <row r="16" spans="2:2">
      <c r="B16" t="s">
        <v>98</v>
      </c>
    </row>
    <row r="17" spans="2:2">
      <c r="B17" t="s">
        <v>82</v>
      </c>
    </row>
    <row r="18" spans="2:2">
      <c r="B18" t="s">
        <v>101</v>
      </c>
    </row>
    <row r="19" spans="2:2">
      <c r="B19" t="s">
        <v>263</v>
      </c>
    </row>
    <row r="20" spans="2:2">
      <c r="B20" t="s">
        <v>321</v>
      </c>
    </row>
    <row r="21" spans="2:2">
      <c r="B21" t="s">
        <v>1658</v>
      </c>
    </row>
    <row r="22" spans="2:2">
      <c r="B22" t="s">
        <v>62</v>
      </c>
    </row>
    <row r="23" spans="2:2">
      <c r="B23" t="s">
        <v>185</v>
      </c>
    </row>
    <row r="24" spans="2:2">
      <c r="B24" t="s">
        <v>73</v>
      </c>
    </row>
    <row r="25" spans="2:2">
      <c r="B25" t="s">
        <v>172</v>
      </c>
    </row>
    <row r="26" spans="2:2">
      <c r="B26" t="s">
        <v>163</v>
      </c>
    </row>
    <row r="27" spans="2:2">
      <c r="B27" t="s">
        <v>1257</v>
      </c>
    </row>
    <row r="28" spans="2:2">
      <c r="B28" t="s">
        <v>141</v>
      </c>
    </row>
    <row r="29" spans="2:2">
      <c r="B29" t="s">
        <v>1465</v>
      </c>
    </row>
    <row r="30" spans="2:2">
      <c r="B30" t="s">
        <v>3239</v>
      </c>
    </row>
    <row r="31" spans="2:2">
      <c r="B31" t="s">
        <v>3240</v>
      </c>
    </row>
    <row r="32" spans="2:2">
      <c r="B32" s="105" t="s">
        <v>3241</v>
      </c>
    </row>
    <row r="35" spans="2:2">
      <c r="B35" s="105" t="s">
        <v>3316</v>
      </c>
    </row>
    <row r="36" spans="2:2">
      <c r="B36" t="s">
        <v>5</v>
      </c>
    </row>
    <row r="37" spans="2:2">
      <c r="B37" t="s">
        <v>198</v>
      </c>
    </row>
    <row r="38" spans="2:2">
      <c r="B38" t="s">
        <v>255</v>
      </c>
    </row>
    <row r="39" spans="2:2">
      <c r="B39" t="s">
        <v>122</v>
      </c>
    </row>
    <row r="40" spans="2:2">
      <c r="B40" t="s">
        <v>56</v>
      </c>
    </row>
    <row r="41" spans="2:2">
      <c r="B41" t="s">
        <v>176</v>
      </c>
    </row>
    <row r="42" spans="2:2">
      <c r="B42" t="s">
        <v>233</v>
      </c>
    </row>
    <row r="43" spans="2:2">
      <c r="B43" t="s">
        <v>69</v>
      </c>
    </row>
    <row r="44" spans="2:2">
      <c r="B44" t="s">
        <v>65</v>
      </c>
    </row>
    <row r="45" spans="2:2">
      <c r="B45" t="s">
        <v>107</v>
      </c>
    </row>
    <row r="46" spans="2:2">
      <c r="B46" t="s">
        <v>136</v>
      </c>
    </row>
    <row r="47" spans="2:2">
      <c r="B47" t="s">
        <v>85</v>
      </c>
    </row>
    <row r="48" spans="2:2">
      <c r="B48" t="s">
        <v>98</v>
      </c>
    </row>
    <row r="49" spans="2:2">
      <c r="B49" t="s">
        <v>82</v>
      </c>
    </row>
    <row r="50" spans="2:2">
      <c r="B50" t="s">
        <v>101</v>
      </c>
    </row>
    <row r="51" spans="2:2">
      <c r="B51" t="s">
        <v>263</v>
      </c>
    </row>
    <row r="52" spans="2:2">
      <c r="B52" t="s">
        <v>321</v>
      </c>
    </row>
    <row r="53" spans="2:2">
      <c r="B53" t="s">
        <v>1658</v>
      </c>
    </row>
    <row r="54" spans="2:2">
      <c r="B54" t="s">
        <v>62</v>
      </c>
    </row>
    <row r="55" spans="2:2">
      <c r="B55" t="s">
        <v>185</v>
      </c>
    </row>
    <row r="56" spans="2:2">
      <c r="B56" t="s">
        <v>73</v>
      </c>
    </row>
    <row r="57" spans="2:2">
      <c r="B57" t="s">
        <v>172</v>
      </c>
    </row>
    <row r="58" spans="2:2">
      <c r="B58" t="s">
        <v>163</v>
      </c>
    </row>
    <row r="59" spans="2:2">
      <c r="B59" t="s">
        <v>1257</v>
      </c>
    </row>
    <row r="60" spans="2:2">
      <c r="B60" t="s">
        <v>141</v>
      </c>
    </row>
    <row r="61" spans="2:2">
      <c r="B61" t="s">
        <v>1465</v>
      </c>
    </row>
    <row r="62" spans="2:2">
      <c r="B62" t="s">
        <v>3239</v>
      </c>
    </row>
    <row r="63" spans="2:2">
      <c r="B63" t="s">
        <v>3240</v>
      </c>
    </row>
    <row r="64" spans="2:2">
      <c r="B64" s="105" t="s">
        <v>3241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P11" sqref="P11"/>
    </sheetView>
  </sheetViews>
  <sheetFormatPr defaultRowHeight="12.75"/>
  <sheetData>
    <row r="1" spans="1:15">
      <c r="A1" t="s">
        <v>3486</v>
      </c>
    </row>
    <row r="2" spans="1:15">
      <c r="D2">
        <v>31</v>
      </c>
      <c r="E2">
        <v>28</v>
      </c>
      <c r="F2">
        <v>31</v>
      </c>
      <c r="G2">
        <v>30</v>
      </c>
      <c r="H2">
        <v>31</v>
      </c>
      <c r="I2">
        <v>30</v>
      </c>
      <c r="J2">
        <v>31</v>
      </c>
      <c r="K2">
        <v>31</v>
      </c>
      <c r="L2">
        <v>30</v>
      </c>
      <c r="M2">
        <v>31</v>
      </c>
      <c r="N2">
        <v>30</v>
      </c>
      <c r="O2">
        <v>31</v>
      </c>
    </row>
    <row r="3" spans="1:15">
      <c r="C3" s="163" t="s">
        <v>3487</v>
      </c>
      <c r="D3" s="163">
        <v>1</v>
      </c>
      <c r="E3" s="163">
        <v>2</v>
      </c>
      <c r="F3" s="163">
        <v>3</v>
      </c>
      <c r="G3" s="163">
        <v>4</v>
      </c>
      <c r="H3" s="163">
        <v>5</v>
      </c>
      <c r="I3" s="163">
        <v>6</v>
      </c>
      <c r="J3" s="163">
        <v>7</v>
      </c>
      <c r="K3" s="163">
        <v>8</v>
      </c>
      <c r="L3" s="163">
        <v>9</v>
      </c>
      <c r="M3" s="163">
        <v>10</v>
      </c>
      <c r="N3" s="163">
        <v>11</v>
      </c>
      <c r="O3" s="163">
        <v>12</v>
      </c>
    </row>
    <row r="4" spans="1:15">
      <c r="C4" s="163" t="s">
        <v>384</v>
      </c>
      <c r="D4" s="165">
        <v>4.3280745928082467E-2</v>
      </c>
      <c r="E4" s="165">
        <v>8.2626878589975611E-2</v>
      </c>
      <c r="F4" s="165">
        <v>0.12590762451805806</v>
      </c>
      <c r="G4" s="165">
        <v>0.18492682351089779</v>
      </c>
      <c r="H4" s="165">
        <v>0.22033834290660162</v>
      </c>
      <c r="I4" s="165">
        <v>0.23607679597135889</v>
      </c>
      <c r="J4" s="165">
        <v>0.23214218270516956</v>
      </c>
      <c r="K4" s="165">
        <v>0.20066527657565505</v>
      </c>
      <c r="L4" s="165">
        <v>0.14558069084900466</v>
      </c>
      <c r="M4" s="165">
        <v>9.0496105122354231E-2</v>
      </c>
      <c r="N4" s="165">
        <v>4.3280745928082467E-2</v>
      </c>
      <c r="O4" s="165">
        <v>3.5411519395703833E-2</v>
      </c>
    </row>
    <row r="5" spans="1:15">
      <c r="C5" s="163" t="s">
        <v>119</v>
      </c>
      <c r="D5" s="163">
        <v>0.44</v>
      </c>
      <c r="E5" s="163">
        <v>0.44</v>
      </c>
      <c r="F5" s="163">
        <v>0.44</v>
      </c>
      <c r="G5" s="163">
        <v>0.44</v>
      </c>
      <c r="H5" s="163">
        <v>0.44</v>
      </c>
      <c r="I5" s="163">
        <v>0.44</v>
      </c>
      <c r="J5" s="163">
        <v>0.44</v>
      </c>
      <c r="K5" s="163">
        <v>0.44</v>
      </c>
      <c r="L5" s="163">
        <v>0.44</v>
      </c>
      <c r="M5" s="163">
        <v>0.44</v>
      </c>
      <c r="N5" s="163">
        <v>0.44</v>
      </c>
      <c r="O5" s="163">
        <v>0.44</v>
      </c>
    </row>
    <row r="6" spans="1:15">
      <c r="C6" s="163" t="s">
        <v>54</v>
      </c>
      <c r="D6" s="165">
        <v>0.52226250383776518</v>
      </c>
      <c r="E6" s="165">
        <v>0.44081871401770178</v>
      </c>
      <c r="F6" s="165">
        <v>0.44081871401770178</v>
      </c>
      <c r="G6" s="165">
        <v>0.35484168308618008</v>
      </c>
      <c r="H6" s="165">
        <v>0.3164002697351232</v>
      </c>
      <c r="I6" s="165">
        <v>0.3042323880360136</v>
      </c>
      <c r="J6" s="165">
        <v>0.21791714862530029</v>
      </c>
      <c r="K6" s="165">
        <v>0.29238053721090274</v>
      </c>
      <c r="L6" s="165">
        <v>0.3164002697351232</v>
      </c>
      <c r="M6" s="165">
        <v>0.35484168308618008</v>
      </c>
      <c r="N6" s="165">
        <v>0.45637561101034912</v>
      </c>
      <c r="O6" s="165">
        <v>0.50523356830043997</v>
      </c>
    </row>
    <row r="7" spans="1:15">
      <c r="C7" s="163" t="s">
        <v>2715</v>
      </c>
      <c r="D7" s="163">
        <v>0.33</v>
      </c>
      <c r="E7" s="163">
        <v>0.33</v>
      </c>
      <c r="F7" s="163">
        <v>0.33</v>
      </c>
      <c r="G7" s="163">
        <v>0.33</v>
      </c>
      <c r="H7" s="163">
        <v>0.33</v>
      </c>
      <c r="I7" s="163">
        <v>0.33</v>
      </c>
      <c r="J7" s="163">
        <v>0.33</v>
      </c>
      <c r="K7" s="163">
        <v>0.33</v>
      </c>
      <c r="L7" s="163">
        <v>0.33</v>
      </c>
      <c r="M7" s="163">
        <v>0.33</v>
      </c>
      <c r="N7" s="163">
        <v>0.33</v>
      </c>
      <c r="O7" s="163">
        <v>0.33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7:G12"/>
  <sheetViews>
    <sheetView workbookViewId="0">
      <selection activeCell="F7" sqref="F7:G12"/>
    </sheetView>
  </sheetViews>
  <sheetFormatPr defaultRowHeight="12.75"/>
  <cols>
    <col min="6" max="6" width="17.7109375" customWidth="1"/>
    <col min="7" max="7" width="21.28515625" customWidth="1"/>
  </cols>
  <sheetData>
    <row r="7" spans="6:7">
      <c r="F7" s="249" t="s">
        <v>3473</v>
      </c>
      <c r="G7" s="250"/>
    </row>
    <row r="8" spans="6:7">
      <c r="F8" s="155" t="s">
        <v>3470</v>
      </c>
      <c r="G8" s="156">
        <f>'Вст. Потужн'!N36</f>
        <v>7153.2450000000026</v>
      </c>
    </row>
    <row r="9" spans="6:7">
      <c r="F9" s="155" t="s">
        <v>3471</v>
      </c>
      <c r="G9" s="157">
        <v>658</v>
      </c>
    </row>
    <row r="10" spans="6:7">
      <c r="F10" s="160" t="s">
        <v>3241</v>
      </c>
      <c r="G10" s="161">
        <f>G9+G8</f>
        <v>7811.2450000000026</v>
      </c>
    </row>
    <row r="11" spans="6:7">
      <c r="F11" s="160" t="s">
        <v>3356</v>
      </c>
      <c r="G11" s="161">
        <f>'Бенефіціарні власники'!I5</f>
        <v>1085.2960000000003</v>
      </c>
    </row>
    <row r="12" spans="6:7">
      <c r="F12" s="158" t="s">
        <v>3472</v>
      </c>
      <c r="G12" s="159">
        <f>G11/G10</f>
        <v>0.13894020735490947</v>
      </c>
    </row>
  </sheetData>
  <mergeCells count="1">
    <mergeCell ref="F7:G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4"/>
  <sheetViews>
    <sheetView showGridLines="0" topLeftCell="A4" zoomScale="85" zoomScaleNormal="85" workbookViewId="0">
      <selection activeCell="N5" sqref="N5"/>
    </sheetView>
  </sheetViews>
  <sheetFormatPr defaultRowHeight="12.75"/>
  <cols>
    <col min="2" max="2" width="19.7109375" hidden="1" customWidth="1"/>
    <col min="3" max="3" width="25.85546875" customWidth="1"/>
    <col min="4" max="4" width="8.7109375" customWidth="1"/>
    <col min="10" max="10" width="11.5703125" customWidth="1"/>
    <col min="11" max="11" width="11.7109375" customWidth="1"/>
    <col min="12" max="12" width="11.42578125" customWidth="1"/>
    <col min="13" max="13" width="14" customWidth="1"/>
  </cols>
  <sheetData>
    <row r="2" spans="2:14">
      <c r="C2" s="251" t="s">
        <v>3465</v>
      </c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2:14">
      <c r="C3" s="255" t="s">
        <v>3462</v>
      </c>
      <c r="D3" s="255" t="s">
        <v>3281</v>
      </c>
      <c r="E3" s="252" t="s">
        <v>3464</v>
      </c>
      <c r="F3" s="252"/>
      <c r="G3" s="252"/>
      <c r="H3" s="252"/>
      <c r="I3" s="252"/>
      <c r="J3" s="252" t="s">
        <v>3454</v>
      </c>
      <c r="K3" s="252"/>
      <c r="L3" s="252"/>
      <c r="M3" s="252"/>
      <c r="N3" s="252"/>
    </row>
    <row r="4" spans="2:14">
      <c r="C4" s="256"/>
      <c r="D4" s="256"/>
      <c r="E4" s="70" t="s">
        <v>384</v>
      </c>
      <c r="F4" s="70" t="s">
        <v>54</v>
      </c>
      <c r="G4" s="70" t="s">
        <v>119</v>
      </c>
      <c r="H4" s="70" t="s">
        <v>2715</v>
      </c>
      <c r="I4" s="70" t="s">
        <v>3241</v>
      </c>
      <c r="J4" s="70" t="s">
        <v>3458</v>
      </c>
      <c r="K4" s="70" t="s">
        <v>3459</v>
      </c>
      <c r="L4" s="70" t="s">
        <v>3460</v>
      </c>
      <c r="M4" s="70" t="s">
        <v>3461</v>
      </c>
      <c r="N4" s="70" t="s">
        <v>3241</v>
      </c>
    </row>
    <row r="5" spans="2:14">
      <c r="B5" t="s">
        <v>3356</v>
      </c>
      <c r="C5" s="71" t="str">
        <f t="shared" ref="C5:C11" si="0">B5</f>
        <v>Ахметов</v>
      </c>
      <c r="D5" s="71" t="s">
        <v>3287</v>
      </c>
      <c r="E5" s="115">
        <f>SUMIFS(Таб[Потужність, МВт],Таб[Бенефіціар],'Бенефіціарні власники'!$B5,Таб[Тип],'Бенефіціарні власники'!E$4)</f>
        <v>579.96100000000001</v>
      </c>
      <c r="F5" s="115">
        <f>SUMIFS(Таб[Потужність, МВт],Таб[Бенефіціар],'Бенефіціарні власники'!$B5,Таб[Тип],'Бенефіціарні власники'!F$4)</f>
        <v>497.83500000000015</v>
      </c>
      <c r="G5" s="115">
        <f>SUMIFS(Таб[Потужність, МВт],Таб[Бенефіціар],'Бенефіціарні власники'!$B5,Таб[Тип],'Бенефіціарні власники'!G$4)</f>
        <v>0</v>
      </c>
      <c r="H5" s="115">
        <f>SUMIFS(Таб[Потужність, МВт],Таб[Бенефіціар],'Бенефіціарні власники'!$B5,Таб[Тип],'Бенефіціарні власники'!H$4)</f>
        <v>7.5</v>
      </c>
      <c r="I5" s="115">
        <f t="shared" ref="I5:I23" si="1">SUM(E5:H5)</f>
        <v>1085.2960000000003</v>
      </c>
      <c r="J5" s="146">
        <f>E5/'Вст. Потужн'!$O$36</f>
        <v>0.10098568657994547</v>
      </c>
      <c r="K5" s="147">
        <f>F5/'Вст. Потужн'!$P$36</f>
        <v>0.44700795991757247</v>
      </c>
      <c r="L5" s="71">
        <f>G5/('Вст. Потужн'!$Q$36+'Вст. Потужн'!$R$36)</f>
        <v>0</v>
      </c>
      <c r="M5" s="116">
        <f>H5/'Вст. Потужн'!$S$36</f>
        <v>6.5166957745744603E-2</v>
      </c>
      <c r="N5" s="148">
        <f>I5/('Вст. Потужн'!$N$36)</f>
        <v>0.15172079245153772</v>
      </c>
    </row>
    <row r="6" spans="2:14">
      <c r="B6" t="s">
        <v>3365</v>
      </c>
      <c r="C6" s="33" t="str">
        <f t="shared" si="0"/>
        <v>РІЧАРД А. ДЕЙТС</v>
      </c>
      <c r="D6" s="33" t="s">
        <v>3367</v>
      </c>
      <c r="E6" s="111">
        <f>SUMIFS(Таб[Потужність, МВт],Таб[Бенефіціар],'Бенефіціарні власники'!$B6,Таб[Тип],'Бенефіціарні власники'!E$4)</f>
        <v>535.72400000000005</v>
      </c>
      <c r="F6" s="111">
        <f>SUMIFS(Таб[Потужність, МВт],Таб[Бенефіціар],'Бенефіціарні власники'!$B6,Таб[Тип],'Бенефіціарні власники'!F$4)</f>
        <v>0</v>
      </c>
      <c r="G6" s="111">
        <f>SUMIFS(Таб[Потужність, МВт],Таб[Бенефіціар],'Бенефіціарні власники'!$B6,Таб[Тип],'Бенефіціарні власники'!G$4)</f>
        <v>0</v>
      </c>
      <c r="H6" s="111">
        <f>SUMIFS(Таб[Потужність, МВт],Таб[Бенефіціар],'Бенефіціарні власники'!$B6,Таб[Тип],'Бенефіціарні власники'!H$4)</f>
        <v>0</v>
      </c>
      <c r="I6" s="111">
        <f t="shared" si="1"/>
        <v>535.72400000000005</v>
      </c>
      <c r="J6" s="84">
        <f>E6/'Вст. Потужн'!$O$36</f>
        <v>9.328292067458796E-2</v>
      </c>
      <c r="K6" s="112">
        <f>F6/'Вст. Потужн'!$P$36</f>
        <v>0</v>
      </c>
      <c r="L6" s="33">
        <f>G6/('Вст. Потужн'!$Q$36+'Вст. Потужн'!$R$36)</f>
        <v>0</v>
      </c>
      <c r="M6" s="112">
        <f>H6/'Вст. Потужн'!$S$36</f>
        <v>0</v>
      </c>
      <c r="N6" s="141">
        <f>I6/('Вст. Потужн'!$N$36)</f>
        <v>7.4892443918808851E-2</v>
      </c>
    </row>
    <row r="7" spans="2:14">
      <c r="B7" t="s">
        <v>3357</v>
      </c>
      <c r="C7" s="33" t="str">
        <f t="shared" si="0"/>
        <v>Карл Стурен</v>
      </c>
      <c r="D7" s="33" t="s">
        <v>3284</v>
      </c>
      <c r="E7" s="111">
        <f>SUMIFS(Таб[Потужність, МВт],Таб[Бенефіціар],'Бенефіціарні власники'!$B7,Таб[Тип],'Бенефіціарні власники'!E$4)</f>
        <v>0</v>
      </c>
      <c r="F7" s="111">
        <f>SUMIFS(Таб[Потужність, МВт],Таб[Бенефіціар],'Бенефіціарні власники'!$B7,Таб[Тип],'Бенефіціарні власники'!F$4)</f>
        <v>334.75</v>
      </c>
      <c r="G7" s="111">
        <f>SUMIFS(Таб[Потужність, МВт],Таб[Бенефіціар],'Бенефіціарні власники'!$B7,Таб[Тип],'Бенефіціарні власники'!G$4)</f>
        <v>0</v>
      </c>
      <c r="H7" s="111">
        <f>SUMIFS(Таб[Потужність, МВт],Таб[Бенефіціар],'Бенефіціарні власники'!$B7,Таб[Тип],'Бенефіціарні власники'!H$4)</f>
        <v>0</v>
      </c>
      <c r="I7" s="111">
        <f t="shared" si="1"/>
        <v>334.75</v>
      </c>
      <c r="J7" s="84">
        <f>E7/'Вст. Потужн'!$O$36</f>
        <v>0</v>
      </c>
      <c r="K7" s="140">
        <f>F7/'Вст. Потужн'!$P$36</f>
        <v>0.30057331160406026</v>
      </c>
      <c r="L7" s="33">
        <f>G7/('Вст. Потужн'!$Q$36+'Вст. Потужн'!$R$36)</f>
        <v>0</v>
      </c>
      <c r="M7" s="112">
        <f>H7/'Вст. Потужн'!$S$36</f>
        <v>0</v>
      </c>
      <c r="N7" s="141">
        <f>I7/('Вст. Потужн'!$N$36)</f>
        <v>4.6796943205496232E-2</v>
      </c>
    </row>
    <row r="8" spans="2:14">
      <c r="B8" t="s">
        <v>3362</v>
      </c>
      <c r="C8" s="33" t="str">
        <f t="shared" si="0"/>
        <v>Гордієнко</v>
      </c>
      <c r="D8" s="33" t="s">
        <v>3287</v>
      </c>
      <c r="E8" s="111">
        <f>SUMIFS(Таб[Потужність, МВт],Таб[Бенефіціар],'Бенефіціарні власники'!$B8,Таб[Тип],'Бенефіціарні власники'!E$4)</f>
        <v>332.57900000000001</v>
      </c>
      <c r="F8" s="111">
        <f>SUMIFS(Таб[Потужність, МВт],Таб[Бенефіціар],'Бенефіціарні власники'!$B8,Таб[Тип],'Бенефіціарні власники'!F$4)</f>
        <v>0</v>
      </c>
      <c r="G8" s="111">
        <f>SUMIFS(Таб[Потужність, МВт],Таб[Бенефіціар],'Бенефіціарні власники'!$B8,Таб[Тип],'Бенефіціарні власники'!G$4)</f>
        <v>0</v>
      </c>
      <c r="H8" s="111">
        <f>SUMIFS(Таб[Потужність, МВт],Таб[Бенефіціар],'Бенефіціарні власники'!$B8,Таб[Тип],'Бенефіціарні власники'!H$4)</f>
        <v>0</v>
      </c>
      <c r="I8" s="111">
        <f t="shared" si="1"/>
        <v>332.57900000000001</v>
      </c>
      <c r="J8" s="84">
        <f>E8/'Вст. Потужн'!$O$36</f>
        <v>5.7910305446524306E-2</v>
      </c>
      <c r="K8" s="112">
        <f>F8/'Вст. Потужн'!$P$36</f>
        <v>0</v>
      </c>
      <c r="L8" s="33">
        <f>G8/('Вст. Потужн'!$Q$36+'Вст. Потужн'!$R$36)</f>
        <v>0</v>
      </c>
      <c r="M8" s="112">
        <f>H8/'Вст. Потужн'!$S$36</f>
        <v>0</v>
      </c>
      <c r="N8" s="141">
        <f>I8/('Вст. Потужн'!$N$36)</f>
        <v>4.649344458354214E-2</v>
      </c>
    </row>
    <row r="9" spans="2:14">
      <c r="B9" t="s">
        <v>3368</v>
      </c>
      <c r="C9" s="33" t="str">
        <f t="shared" si="0"/>
        <v>CNBM</v>
      </c>
      <c r="D9" s="33" t="s">
        <v>3369</v>
      </c>
      <c r="E9" s="111">
        <f>SUMIFS(Таб[Потужність, МВт],Таб[Бенефіціар],'Бенефіціарні власники'!$B9,Таб[Тип],'Бенефіціарні власники'!E$4)</f>
        <v>301.14299999999997</v>
      </c>
      <c r="F9" s="111">
        <f>SUMIFS(Таб[Потужність, МВт],Таб[Бенефіціар],'Бенефіціарні власники'!$B9,Таб[Тип],'Бенефіціарні власники'!F$4)</f>
        <v>0</v>
      </c>
      <c r="G9" s="111">
        <f>SUMIFS(Таб[Потужність, МВт],Таб[Бенефіціар],'Бенефіціарні власники'!$B9,Таб[Тип],'Бенефіціарні власники'!G$4)</f>
        <v>0</v>
      </c>
      <c r="H9" s="111">
        <f>SUMIFS(Таб[Потужність, МВт],Таб[Бенефіціар],'Бенефіціарні власники'!$B9,Таб[Тип],'Бенефіціарні власники'!H$4)</f>
        <v>0</v>
      </c>
      <c r="I9" s="111">
        <f t="shared" si="1"/>
        <v>301.14299999999997</v>
      </c>
      <c r="J9" s="84">
        <f>E9/'Вст. Потужн'!$O$36</f>
        <v>5.2436513168548429E-2</v>
      </c>
      <c r="K9" s="112">
        <f>F9/'Вст. Потужн'!$P$36</f>
        <v>0</v>
      </c>
      <c r="L9" s="33">
        <f>G9/('Вст. Потужн'!$Q$36+'Вст. Потужн'!$R$36)</f>
        <v>0</v>
      </c>
      <c r="M9" s="112">
        <f>H9/'Вст. Потужн'!$S$36</f>
        <v>0</v>
      </c>
      <c r="N9" s="141">
        <f>I9/('Вст. Потужн'!$N$36)</f>
        <v>4.2098795721382372E-2</v>
      </c>
    </row>
    <row r="10" spans="2:14">
      <c r="B10" t="s">
        <v>3366</v>
      </c>
      <c r="C10" s="33" t="str">
        <f t="shared" si="0"/>
        <v>Хрипков</v>
      </c>
      <c r="D10" s="33" t="s">
        <v>3287</v>
      </c>
      <c r="E10" s="111">
        <f>SUMIFS(Таб[Потужність, МВт],Таб[Бенефіціар],'Бенефіціарні власники'!$B10,Таб[Тип],'Бенефіціарні власники'!E$4)</f>
        <v>195.55400000000003</v>
      </c>
      <c r="F10" s="111">
        <f>SUMIFS(Таб[Потужність, МВт],Таб[Бенефіціар],'Бенефіціарні власники'!$B10,Таб[Тип],'Бенефіціарні власники'!F$4)</f>
        <v>0</v>
      </c>
      <c r="G10" s="111">
        <f>SUMIFS(Таб[Потужність, МВт],Таб[Бенефіціар],'Бенефіціарні власники'!$B10,Таб[Тип],'Бенефіціарні власники'!G$4)</f>
        <v>0</v>
      </c>
      <c r="H10" s="111">
        <f>SUMIFS(Таб[Потужність, МВт],Таб[Бенефіціар],'Бенефіціарні власники'!$B10,Таб[Тип],'Бенефіціарні власники'!H$4)</f>
        <v>0</v>
      </c>
      <c r="I10" s="111">
        <f t="shared" si="1"/>
        <v>195.55400000000003</v>
      </c>
      <c r="J10" s="84">
        <f>E10/'Вст. Потужн'!$O$36</f>
        <v>3.4050832648151612E-2</v>
      </c>
      <c r="K10" s="112">
        <f>F10/'Вст. Потужн'!$P$36</f>
        <v>0</v>
      </c>
      <c r="L10" s="33">
        <f>G10/('Вст. Потужн'!$Q$36+'Вст. Потужн'!$R$36)</f>
        <v>0</v>
      </c>
      <c r="M10" s="112">
        <f>H10/'Вст. Потужн'!$S$36</f>
        <v>0</v>
      </c>
      <c r="N10" s="141">
        <f>I10/('Вст. Потужн'!$N$36)</f>
        <v>2.7337802633629907E-2</v>
      </c>
    </row>
    <row r="11" spans="2:14">
      <c r="B11" t="s">
        <v>3355</v>
      </c>
      <c r="C11" s="33" t="str">
        <f t="shared" si="0"/>
        <v>Єфімов</v>
      </c>
      <c r="D11" s="33" t="s">
        <v>3287</v>
      </c>
      <c r="E11" s="111">
        <f>SUMIFS(Таб[Потужність, МВт],Таб[Бенефіціар],'Бенефіціарні власники'!$B11,Таб[Тип],'Бенефіціарні власники'!E$4)</f>
        <v>0</v>
      </c>
      <c r="F11" s="111">
        <f>SUMIFS(Таб[Потужність, МВт],Таб[Бенефіціар],'Бенефіціарні власники'!$B11,Таб[Тип],'Бенефіціарні власники'!F$4)</f>
        <v>159.6</v>
      </c>
      <c r="G11" s="111">
        <f>SUMIFS(Таб[Потужність, МВт],Таб[Бенефіціар],'Бенефіціарні власники'!$B11,Таб[Тип],'Бенефіціарні власники'!G$4)</f>
        <v>0</v>
      </c>
      <c r="H11" s="111">
        <f>SUMIFS(Таб[Потужність, МВт],Таб[Бенефіціар],'Бенефіціарні власники'!$B11,Таб[Тип],'Бенефіціарні власники'!H$4)</f>
        <v>0</v>
      </c>
      <c r="I11" s="111">
        <f t="shared" si="1"/>
        <v>159.6</v>
      </c>
      <c r="J11" s="84">
        <f>E11/'Вст. Потужн'!$O$36</f>
        <v>0</v>
      </c>
      <c r="K11" s="112">
        <f>F11/'Вст. Потужн'!$P$36</f>
        <v>0.14330545341899334</v>
      </c>
      <c r="L11" s="33">
        <f>G11/('Вст. Потужн'!$Q$36+'Вст. Потужн'!$R$36)</f>
        <v>0</v>
      </c>
      <c r="M11" s="112">
        <f>H11/'Вст. Потужн'!$S$36</f>
        <v>0</v>
      </c>
      <c r="N11" s="141">
        <f>I11/('Вст. Потужн'!$N$36)</f>
        <v>2.2311552309476318E-2</v>
      </c>
    </row>
    <row r="12" spans="2:14">
      <c r="B12" t="s">
        <v>3359</v>
      </c>
      <c r="C12" s="33" t="s">
        <v>3452</v>
      </c>
      <c r="D12" s="33" t="s">
        <v>3287</v>
      </c>
      <c r="E12" s="111">
        <f>SUMIFS(Таб[Потужність, МВт],Таб[Бенефіціар],'Бенефіціарні власники'!$B12,Таб[Тип],'Бенефіціарні власники'!E$4)</f>
        <v>121.455</v>
      </c>
      <c r="F12" s="111">
        <f>SUMIFS(Таб[Потужність, МВт],Таб[Бенефіціар],'Бенефіціарні власники'!$B12,Таб[Тип],'Бенефіціарні власники'!F$4)</f>
        <v>33.9</v>
      </c>
      <c r="G12" s="111">
        <f>SUMIFS(Таб[Потужність, МВт],Таб[Бенефіціар],'Бенефіціарні власники'!$B12,Таб[Тип],'Бенефіціарні власники'!G$4)</f>
        <v>0</v>
      </c>
      <c r="H12" s="111">
        <f>SUMIFS(Таб[Потужність, МВт],Таб[Бенефіціар],'Бенефіціарні власники'!$B12,Таб[Тип],'Бенефіціарні власники'!H$4)</f>
        <v>0</v>
      </c>
      <c r="I12" s="111">
        <f t="shared" si="1"/>
        <v>155.35499999999999</v>
      </c>
      <c r="J12" s="84">
        <f>E12/'Вст. Потужн'!$O$36</f>
        <v>2.1148347153631498E-2</v>
      </c>
      <c r="K12" s="112">
        <f>F12/'Вст. Потужн'!$P$36</f>
        <v>3.0438940293883922E-2</v>
      </c>
      <c r="L12" s="33">
        <f>G12/('Вст. Потужн'!$Q$36+'Вст. Потужн'!$R$36)</f>
        <v>0</v>
      </c>
      <c r="M12" s="112">
        <f>H12/'Вст. Потужн'!$S$36</f>
        <v>0</v>
      </c>
      <c r="N12" s="141">
        <f>I12/('Вст. Потужн'!$N$36)</f>
        <v>2.1718115344853968E-2</v>
      </c>
    </row>
    <row r="13" spans="2:14">
      <c r="B13" t="s">
        <v>3361</v>
      </c>
      <c r="C13" s="33" t="str">
        <f>B13</f>
        <v>Нурек</v>
      </c>
      <c r="D13" s="33" t="s">
        <v>3287</v>
      </c>
      <c r="E13" s="111">
        <f>SUMIFS(Таб[Потужність, МВт],Таб[Бенефіціар],'Бенефіціарні власники'!$B13,Таб[Тип],'Бенефіціарні власники'!E$4)</f>
        <v>122.739</v>
      </c>
      <c r="F13" s="111">
        <f>SUMIFS(Таб[Потужність, МВт],Таб[Бенефіціар],'Бенефіціарні власники'!$B13,Таб[Тип],'Бенефіціарні власники'!F$4)</f>
        <v>0</v>
      </c>
      <c r="G13" s="111">
        <f>SUMIFS(Таб[Потужність, МВт],Таб[Бенефіціар],'Бенефіціарні власники'!$B13,Таб[Тип],'Бенефіціарні власники'!G$4)</f>
        <v>0</v>
      </c>
      <c r="H13" s="111">
        <f>SUMIFS(Таб[Потужність, МВт],Таб[Бенефіціар],'Бенефіціарні власники'!$B13,Таб[Тип],'Бенефіціарні власники'!H$4)</f>
        <v>0</v>
      </c>
      <c r="I13" s="111">
        <f t="shared" si="1"/>
        <v>122.739</v>
      </c>
      <c r="J13" s="84">
        <f>E13/'Вст. Потужн'!$O$36</f>
        <v>2.1371923603718056E-2</v>
      </c>
      <c r="K13" s="112">
        <f>F13/'Вст. Потужн'!$P$36</f>
        <v>0</v>
      </c>
      <c r="L13" s="33">
        <f>G13/('Вст. Потужн'!$Q$36+'Вст. Потужн'!$R$36)</f>
        <v>0</v>
      </c>
      <c r="M13" s="112">
        <f>H13/'Вст. Потужн'!$S$36</f>
        <v>0</v>
      </c>
      <c r="N13" s="141">
        <f>I13/('Вст. Потужн'!$N$36)</f>
        <v>1.7158506384165502E-2</v>
      </c>
    </row>
    <row r="14" spans="2:14">
      <c r="B14" s="23" t="s">
        <v>3380</v>
      </c>
      <c r="C14" s="33" t="str">
        <f>B14</f>
        <v>UDP Renewables</v>
      </c>
      <c r="D14" s="33" t="s">
        <v>3287</v>
      </c>
      <c r="E14" s="111">
        <f>SUMIFS(Таб[Потужність, МВт],Таб[Бенефіціар],'Бенефіціарні власники'!$B14,Таб[Тип],'Бенефіціарні власники'!E$4)</f>
        <v>107.762</v>
      </c>
      <c r="F14" s="111">
        <f>SUMIFS(Таб[Потужність, МВт],Таб[Бенефіціар],'Бенефіціарні власники'!$B14,Таб[Тип],'Бенефіціарні власники'!F$4)</f>
        <v>0</v>
      </c>
      <c r="G14" s="111">
        <f>SUMIFS(Таб[Потужність, МВт],Таб[Бенефіціар],'Бенефіціарні власники'!$B14,Таб[Тип],'Бенефіціарні власники'!G$4)</f>
        <v>0</v>
      </c>
      <c r="H14" s="111">
        <f>SUMIFS(Таб[Потужність, МВт],Таб[Бенефіціар],'Бенефіціарні власники'!$B14,Таб[Тип],'Бенефіціарні власники'!H$4)</f>
        <v>0</v>
      </c>
      <c r="I14" s="111">
        <f t="shared" si="1"/>
        <v>107.762</v>
      </c>
      <c r="J14" s="84">
        <f>E14/'Вст. Потужн'!$O$36</f>
        <v>1.8764054060924931E-2</v>
      </c>
      <c r="K14" s="112">
        <f>F14/'Вст. Потужн'!$P$36</f>
        <v>0</v>
      </c>
      <c r="L14" s="33">
        <f>G14/('Вст. Потужн'!$Q$36+'Вст. Потужн'!$R$36)</f>
        <v>0</v>
      </c>
      <c r="M14" s="112">
        <f>H14/'Вст. Потужн'!$S$36</f>
        <v>0</v>
      </c>
      <c r="N14" s="141">
        <f>I14/('Вст. Потужн'!$N$36)</f>
        <v>1.5064771303093905E-2</v>
      </c>
    </row>
    <row r="15" spans="2:14">
      <c r="B15" t="s">
        <v>3386</v>
      </c>
      <c r="C15" s="33" t="str">
        <f>B15</f>
        <v>Грінвіль</v>
      </c>
      <c r="D15" s="33" t="s">
        <v>3287</v>
      </c>
      <c r="E15" s="111">
        <f>SUMIFS(Таб[Потужність, МВт],Таб[Бенефіціар],'Бенефіціарні власники'!$B15,Таб[Тип],'Бенефіціарні власники'!E$4)</f>
        <v>103.876</v>
      </c>
      <c r="F15" s="111">
        <f>SUMIFS(Таб[Потужність, МВт],Таб[Бенефіціар],'Бенефіціарні власники'!$B15,Таб[Тип],'Бенефіціарні власники'!F$4)</f>
        <v>0</v>
      </c>
      <c r="G15" s="111">
        <f>SUMIFS(Таб[Потужність, МВт],Таб[Бенефіціар],'Бенефіціарні власники'!$B15,Таб[Тип],'Бенефіціарні власники'!G$4)</f>
        <v>0</v>
      </c>
      <c r="H15" s="111">
        <f>SUMIFS(Таб[Потужність, МВт],Таб[Бенефіціар],'Бенефіціарні власники'!$B15,Таб[Тип],'Бенефіціарні власники'!H$4)</f>
        <v>0</v>
      </c>
      <c r="I15" s="111">
        <f t="shared" si="1"/>
        <v>103.876</v>
      </c>
      <c r="J15" s="84">
        <f>E15/'Вст. Потужн'!$O$36</f>
        <v>1.8087404461986954E-2</v>
      </c>
      <c r="K15" s="112">
        <f>F15/'Вст. Потужн'!$P$36</f>
        <v>0</v>
      </c>
      <c r="L15" s="33">
        <f>G15/('Вст. Потужн'!$Q$36+'Вст. Потужн'!$R$36)</f>
        <v>0</v>
      </c>
      <c r="M15" s="112">
        <f>H15/'Вст. Потужн'!$S$36</f>
        <v>0</v>
      </c>
      <c r="N15" s="141">
        <f>I15/('Вст. Потужн'!$N$36)</f>
        <v>1.4521521351498512E-2</v>
      </c>
    </row>
    <row r="16" spans="2:14">
      <c r="B16" t="s">
        <v>3374</v>
      </c>
      <c r="C16" s="33" t="str">
        <f>B16</f>
        <v>Acciona Energia</v>
      </c>
      <c r="D16" s="33" t="s">
        <v>3375</v>
      </c>
      <c r="E16" s="111">
        <f>SUMIFS(Таб[Потужність, МВт],Таб[Бенефіціар],'Бенефіціарні власники'!$B16,Таб[Тип],'Бенефіціарні власники'!E$4)</f>
        <v>99.64100000000002</v>
      </c>
      <c r="F16" s="111">
        <f>SUMIFS(Таб[Потужність, МВт],Таб[Бенефіціар],'Бенефіціарні власники'!$B16,Таб[Тип],'Бенефіціарні власники'!F$4)</f>
        <v>0</v>
      </c>
      <c r="G16" s="111">
        <f>SUMIFS(Таб[Потужність, МВт],Таб[Бенефіціар],'Бенефіціарні власники'!$B16,Таб[Тип],'Бенефіціарні власники'!G$4)</f>
        <v>0</v>
      </c>
      <c r="H16" s="111">
        <f>SUMIFS(Таб[Потужність, МВт],Таб[Бенефіціар],'Бенефіціарні власники'!$B16,Таб[Тип],'Бенефіціарні власники'!H$4)</f>
        <v>0</v>
      </c>
      <c r="I16" s="111">
        <f t="shared" si="1"/>
        <v>99.64100000000002</v>
      </c>
      <c r="J16" s="84">
        <f>E16/'Вст. Потужн'!$O$36</f>
        <v>1.7349985251615796E-2</v>
      </c>
      <c r="K16" s="112">
        <f>F16/'Вст. Потужн'!$P$36</f>
        <v>0</v>
      </c>
      <c r="L16" s="33">
        <f>G16/('Вст. Потужн'!$Q$36+'Вст. Потужн'!$R$36)</f>
        <v>0</v>
      </c>
      <c r="M16" s="112">
        <f>H16/'Вст. Потужн'!$S$36</f>
        <v>0</v>
      </c>
      <c r="N16" s="141">
        <f>I16/('Вст. Потужн'!$N$36)</f>
        <v>1.3929482353812847E-2</v>
      </c>
    </row>
    <row r="17" spans="2:14">
      <c r="B17" t="s">
        <v>3371</v>
      </c>
      <c r="C17" s="33" t="str">
        <f>B17</f>
        <v>Scatec Solar</v>
      </c>
      <c r="D17" s="33" t="s">
        <v>3286</v>
      </c>
      <c r="E17" s="111">
        <f>SUMIFS(Таб[Потужність, МВт],Таб[Бенефіціар],'Бенефіціарні власники'!$B17,Таб[Тип],'Бенефіціарні власники'!E$4)</f>
        <v>86.183999999999997</v>
      </c>
      <c r="F17" s="111">
        <f>SUMIFS(Таб[Потужність, МВт],Таб[Бенефіціар],'Бенефіціарні власники'!$B17,Таб[Тип],'Бенефіціарні власники'!F$4)</f>
        <v>0</v>
      </c>
      <c r="G17" s="111">
        <f>SUMIFS(Таб[Потужність, МВт],Таб[Бенефіціар],'Бенефіціарні власники'!$B17,Таб[Тип],'Бенефіціарні власники'!G$4)</f>
        <v>0</v>
      </c>
      <c r="H17" s="111">
        <f>SUMIFS(Таб[Потужність, МВт],Таб[Бенефіціар],'Бенефіціарні власники'!$B17,Таб[Тип],'Бенефіціарні власники'!H$4)</f>
        <v>0</v>
      </c>
      <c r="I17" s="111">
        <f t="shared" si="1"/>
        <v>86.183999999999997</v>
      </c>
      <c r="J17" s="84">
        <f>E17/'Вст. Потужн'!$O$36</f>
        <v>1.5006785649735102E-2</v>
      </c>
      <c r="K17" s="112">
        <f>F17/'Вст. Потужн'!$P$36</f>
        <v>0</v>
      </c>
      <c r="L17" s="33">
        <f>G17/('Вст. Потужн'!$Q$36+'Вст. Потужн'!$R$36)</f>
        <v>0</v>
      </c>
      <c r="M17" s="112">
        <f>H17/'Вст. Потужн'!$S$36</f>
        <v>0</v>
      </c>
      <c r="N17" s="141">
        <f>I17/('Вст. Потужн'!$N$36)</f>
        <v>1.2048238247117213E-2</v>
      </c>
    </row>
    <row r="18" spans="2:14">
      <c r="B18" t="s">
        <v>3383</v>
      </c>
      <c r="C18" s="33" t="s">
        <v>3453</v>
      </c>
      <c r="D18" s="33" t="s">
        <v>3287</v>
      </c>
      <c r="E18" s="111">
        <f>SUMIFS(Таб[Потужність, МВт],Таб[Бенефіціар],'Бенефіціарні власники'!$B18,Таб[Тип],'Бенефіціарні власники'!E$4)</f>
        <v>80.996000000000009</v>
      </c>
      <c r="F18" s="111">
        <f>SUMIFS(Таб[Потужність, МВт],Таб[Бенефіціар],'Бенефіціарні власники'!$B18,Таб[Тип],'Бенефіціарні власники'!F$4)</f>
        <v>0</v>
      </c>
      <c r="G18" s="111">
        <f>SUMIFS(Таб[Потужність, МВт],Таб[Бенефіціар],'Бенефіціарні власники'!$B18,Таб[Тип],'Бенефіціарні власники'!G$4)</f>
        <v>0</v>
      </c>
      <c r="H18" s="111">
        <f>SUMIFS(Таб[Потужність, МВт],Таб[Бенефіціар],'Бенефіціарні власники'!$B18,Таб[Тип],'Бенефіціарні власники'!H$4)</f>
        <v>0</v>
      </c>
      <c r="I18" s="111">
        <f t="shared" si="1"/>
        <v>80.996000000000009</v>
      </c>
      <c r="J18" s="84">
        <f>E18/'Вст. Потужн'!$O$36</f>
        <v>1.4103425351410291E-2</v>
      </c>
      <c r="K18" s="112">
        <f>F18/'Вст. Потужн'!$P$36</f>
        <v>0</v>
      </c>
      <c r="L18" s="33">
        <f>G18/('Вст. Потужн'!$Q$36+'Вст. Потужн'!$R$36)</f>
        <v>0</v>
      </c>
      <c r="M18" s="112">
        <f>H18/'Вст. Потужн'!$S$36</f>
        <v>0</v>
      </c>
      <c r="N18" s="141">
        <f>I18/('Вст. Потужн'!$N$36)</f>
        <v>1.1322973000365565E-2</v>
      </c>
    </row>
    <row r="19" spans="2:14">
      <c r="B19" t="s">
        <v>3372</v>
      </c>
      <c r="C19" s="33" t="str">
        <f>B19</f>
        <v>Тинний</v>
      </c>
      <c r="D19" s="33" t="s">
        <v>3287</v>
      </c>
      <c r="E19" s="111">
        <f>SUMIFS(Таб[Потужність, МВт],Таб[Бенефіціар],'Бенефіціарні власники'!$B19,Таб[Тип],'Бенефіціарні власники'!E$4)</f>
        <v>32.738</v>
      </c>
      <c r="F19" s="111">
        <f>SUMIFS(Таб[Потужність, МВт],Таб[Бенефіціар],'Бенефіціарні власники'!$B19,Таб[Тип],'Бенефіціарні власники'!F$4)</f>
        <v>0</v>
      </c>
      <c r="G19" s="111">
        <f>SUMIFS(Таб[Потужність, МВт],Таб[Бенефіціар],'Бенефіціарні власники'!$B19,Таб[Тип],'Бенефіціарні власники'!G$4)</f>
        <v>0</v>
      </c>
      <c r="H19" s="111">
        <f>SUMIFS(Таб[Потужність, МВт],Таб[Бенефіціар],'Бенефіціарні власники'!$B19,Таб[Тип],'Бенефіціарні власники'!H$4)</f>
        <v>45.117000000000004</v>
      </c>
      <c r="I19" s="111">
        <f t="shared" si="1"/>
        <v>77.855000000000004</v>
      </c>
      <c r="J19" s="84">
        <f>E19/'Вст. Потужн'!$O$36</f>
        <v>5.7005029773627095E-3</v>
      </c>
      <c r="K19" s="112">
        <f>F19/'Вст. Потужн'!$P$36</f>
        <v>0</v>
      </c>
      <c r="L19" s="33">
        <f>G19/('Вст. Потужн'!$Q$36+'Вст. Потужн'!$R$36)</f>
        <v>0</v>
      </c>
      <c r="M19" s="140">
        <f>H19/'Вст. Потужн'!$S$36</f>
        <v>0.39201835101530125</v>
      </c>
      <c r="N19" s="141">
        <f>I19/('Вст. Потужн'!$N$36)</f>
        <v>1.0883871585553127E-2</v>
      </c>
    </row>
    <row r="20" spans="2:14">
      <c r="B20" t="s">
        <v>3370</v>
      </c>
      <c r="C20" s="33" t="str">
        <f>B20</f>
        <v>Рєпкін</v>
      </c>
      <c r="D20" s="33" t="s">
        <v>3287</v>
      </c>
      <c r="E20" s="111">
        <f>SUMIFS(Таб[Потужність, МВт],Таб[Бенефіціар],'Бенефіціарні власники'!$B20,Таб[Тип],'Бенефіціарні власники'!E$4)</f>
        <v>60.658999999999999</v>
      </c>
      <c r="F20" s="111">
        <f>SUMIFS(Таб[Потужність, МВт],Таб[Бенефіціар],'Бенефіціарні власники'!$B20,Таб[Тип],'Бенефіціарні власники'!F$4)</f>
        <v>0</v>
      </c>
      <c r="G20" s="111">
        <f>SUMIFS(Таб[Потужність, МВт],Таб[Бенефіціар],'Бенефіціарні власники'!$B20,Таб[Тип],'Бенефіціарні власники'!G$4)</f>
        <v>0</v>
      </c>
      <c r="H20" s="111">
        <f>SUMIFS(Таб[Потужність, МВт],Таб[Бенефіціар],'Бенефіціарні власники'!$B20,Таб[Тип],'Бенефіціарні власники'!H$4)</f>
        <v>0</v>
      </c>
      <c r="I20" s="111">
        <f t="shared" si="1"/>
        <v>60.658999999999999</v>
      </c>
      <c r="J20" s="84">
        <f>E20/'Вст. Потужн'!$O$36</f>
        <v>1.0562246016978576E-2</v>
      </c>
      <c r="K20" s="112">
        <f>F20/'Вст. Потужн'!$P$36</f>
        <v>0</v>
      </c>
      <c r="L20" s="33">
        <f>G20/('Вст. Потужн'!$Q$36+'Вст. Потужн'!$R$36)</f>
        <v>0</v>
      </c>
      <c r="M20" s="112">
        <f>H20/'Вст. Потужн'!$S$36</f>
        <v>0</v>
      </c>
      <c r="N20" s="141">
        <f>I20/('Вст. Потужн'!$N$36)</f>
        <v>8.4799276412313544E-3</v>
      </c>
    </row>
    <row r="21" spans="2:14">
      <c r="B21" t="s">
        <v>3381</v>
      </c>
      <c r="C21" s="33" t="s">
        <v>3381</v>
      </c>
      <c r="D21" s="33" t="s">
        <v>3382</v>
      </c>
      <c r="E21" s="111">
        <f>SUMIFS(Таб[Потужність, МВт],Таб[Бенефіціар],'Бенефіціарні власники'!$B21,Таб[Тип],'Бенефіціарні власники'!E$4)</f>
        <v>23.861999999999998</v>
      </c>
      <c r="F21" s="111">
        <f>SUMIFS(Таб[Потужність, МВт],Таб[Бенефіціар],'Бенефіціарні власники'!$B21,Таб[Тип],'Бенефіціарні власники'!F$4)</f>
        <v>0</v>
      </c>
      <c r="G21" s="111">
        <f>SUMIFS(Таб[Потужність, МВт],Таб[Бенефіціар],'Бенефіціарні власники'!$B21,Таб[Тип],'Бенефіціарні власники'!G$4)</f>
        <v>0</v>
      </c>
      <c r="H21" s="111">
        <f>SUMIFS(Таб[Потужність, МВт],Таб[Бенефіціар],'Бенефіціарні власники'!$B21,Таб[Тип],'Бенефіціарні власники'!H$4)</f>
        <v>0</v>
      </c>
      <c r="I21" s="111">
        <f t="shared" si="1"/>
        <v>23.861999999999998</v>
      </c>
      <c r="J21" s="84">
        <f>E21/'Вст. Потужн'!$O$36</f>
        <v>4.1549698224029865E-3</v>
      </c>
      <c r="K21" s="112">
        <f>F21/'Вст. Потужн'!$P$36</f>
        <v>0</v>
      </c>
      <c r="L21" s="33">
        <f>G21/('Вст. Потужн'!$Q$36+'Вст. Потужн'!$R$36)</f>
        <v>0</v>
      </c>
      <c r="M21" s="112">
        <f>H21/'Вст. Потужн'!$S$36</f>
        <v>0</v>
      </c>
      <c r="N21" s="84">
        <f>I21/('Вст. Потужн'!$N$36)</f>
        <v>3.335828704315313E-3</v>
      </c>
    </row>
    <row r="22" spans="2:14">
      <c r="B22" t="s">
        <v>3378</v>
      </c>
      <c r="C22" s="33" t="s">
        <v>3378</v>
      </c>
      <c r="D22" s="33" t="s">
        <v>3379</v>
      </c>
      <c r="E22" s="111">
        <f>SUMIFS(Таб[Потужність, МВт],Таб[Бенефіціар],'Бенефіціарні власники'!$B22,Таб[Тип],'Бенефіціарні власники'!E$4)</f>
        <v>19.094000000000001</v>
      </c>
      <c r="F22" s="111">
        <f>SUMIFS(Таб[Потужність, МВт],Таб[Бенефіціар],'Бенефіціарні власники'!$B22,Таб[Тип],'Бенефіціарні власники'!F$4)</f>
        <v>0</v>
      </c>
      <c r="G22" s="111">
        <f>SUMIFS(Таб[Потужність, МВт],Таб[Бенефіціар],'Бенефіціарні власники'!$B22,Таб[Тип],'Бенефіціарні власники'!G$4)</f>
        <v>0</v>
      </c>
      <c r="H22" s="111">
        <f>SUMIFS(Таб[Потужність, МВт],Таб[Бенефіціар],'Бенефіціарні власники'!$B22,Таб[Тип],'Бенефіціарні власники'!H$4)</f>
        <v>0</v>
      </c>
      <c r="I22" s="111">
        <f t="shared" si="1"/>
        <v>19.094000000000001</v>
      </c>
      <c r="J22" s="84">
        <f>E22/'Вст. Потужн'!$O$36</f>
        <v>3.3247420077513468E-3</v>
      </c>
      <c r="K22" s="112">
        <f>F22/'Вст. Потужн'!$P$36</f>
        <v>0</v>
      </c>
      <c r="L22" s="33">
        <f>G22/('Вст. Потужн'!$Q$36+'Вст. Потужн'!$R$36)</f>
        <v>0</v>
      </c>
      <c r="M22" s="112">
        <f>H22/'Вст. Потужн'!$S$36</f>
        <v>0</v>
      </c>
      <c r="N22" s="84">
        <f>I22/('Вст. Потужн'!$N$36)</f>
        <v>2.6692780689043915E-3</v>
      </c>
    </row>
    <row r="23" spans="2:14">
      <c r="B23" t="s">
        <v>3456</v>
      </c>
      <c r="C23" s="72" t="s">
        <v>3457</v>
      </c>
      <c r="D23" s="72" t="s">
        <v>3287</v>
      </c>
      <c r="E23" s="142">
        <f>SUMIFS(Таб[Потужність, МВт],Таб[Бенефіціар],'Бенефіціарні власники'!$B23,Таб[Тип],'Бенефіціарні власники'!E$4)</f>
        <v>0</v>
      </c>
      <c r="F23" s="142">
        <f>SUMIFS(Таб[Потужність, МВт],Таб[Бенефіціар],'Бенефіціарні власники'!$B23,Таб[Тип],'Бенефіціарні власники'!F$4)</f>
        <v>0</v>
      </c>
      <c r="G23" s="142">
        <f>SUMIFS(Таб[Потужність, МВт],Таб[Бенефіціар],'Бенефіціарні власники'!$B23,Таб[Тип],'Бенефіціарні власники'!G$4)</f>
        <v>17.692</v>
      </c>
      <c r="H23" s="142">
        <f>SUMIFS(Таб[Потужність, МВт],Таб[Бенефіціар],'Бенефіціарні власники'!$B23,Таб[Тип],'Бенефіціарні власники'!H$4)</f>
        <v>0</v>
      </c>
      <c r="I23" s="142">
        <f t="shared" si="1"/>
        <v>17.692</v>
      </c>
      <c r="J23" s="87">
        <f>E23/'Вст. Потужн'!$O$36</f>
        <v>0</v>
      </c>
      <c r="K23" s="143">
        <f>F23/'Вст. Потужн'!$P$36</f>
        <v>0</v>
      </c>
      <c r="L23" s="87">
        <f>G23/('Вст. Потужн'!$Q$36+'Вст. Потужн'!$R$36)</f>
        <v>9.750398183511623E-2</v>
      </c>
      <c r="M23" s="143">
        <f>H23/'Вст. Потужн'!$S$36</f>
        <v>0</v>
      </c>
      <c r="N23" s="87">
        <f>I23/('Вст. Потужн'!$N$36)</f>
        <v>2.4732831043812976E-3</v>
      </c>
    </row>
    <row r="24" spans="2:14">
      <c r="C24" s="253" t="s">
        <v>3463</v>
      </c>
      <c r="D24" s="254"/>
      <c r="E24" s="144">
        <f>SUM(E5:E23)</f>
        <v>2803.967000000001</v>
      </c>
      <c r="F24" s="144">
        <f t="shared" ref="F24:I24" si="2">SUM(F5:F23)</f>
        <v>1026.0850000000003</v>
      </c>
      <c r="G24" s="144">
        <f t="shared" si="2"/>
        <v>17.692</v>
      </c>
      <c r="H24" s="144">
        <f t="shared" si="2"/>
        <v>52.617000000000004</v>
      </c>
      <c r="I24" s="144">
        <f t="shared" si="2"/>
        <v>3900.3610000000017</v>
      </c>
      <c r="J24" s="145">
        <f>SUM(J5:J23)</f>
        <v>0.48824064487527602</v>
      </c>
      <c r="K24" s="145">
        <f t="shared" ref="K24:N24" si="3">SUM(K5:K23)</f>
        <v>0.92132566523451009</v>
      </c>
      <c r="L24" s="145">
        <f t="shared" si="3"/>
        <v>9.750398183511623E-2</v>
      </c>
      <c r="M24" s="145">
        <f t="shared" si="3"/>
        <v>0.45718530876104585</v>
      </c>
      <c r="N24" s="145">
        <f t="shared" si="3"/>
        <v>0.54525757191316659</v>
      </c>
    </row>
  </sheetData>
  <mergeCells count="6">
    <mergeCell ref="C2:N2"/>
    <mergeCell ref="E3:I3"/>
    <mergeCell ref="J3:N3"/>
    <mergeCell ref="C24:D24"/>
    <mergeCell ref="C3:C4"/>
    <mergeCell ref="D3:D4"/>
  </mergeCells>
  <conditionalFormatting sqref="E5:N5 E22:K22 M22:N22 E6:K20 M6:N20 L6:L23">
    <cfRule type="cellIs" dxfId="20" priority="3" operator="equal">
      <formula>0</formula>
    </cfRule>
  </conditionalFormatting>
  <conditionalFormatting sqref="E21:K21 M21:N21">
    <cfRule type="cellIs" dxfId="19" priority="2" operator="equal">
      <formula>0</formula>
    </cfRule>
  </conditionalFormatting>
  <conditionalFormatting sqref="E23:K23 M23:N23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L21"/>
  <sheetViews>
    <sheetView workbookViewId="0">
      <selection activeCell="A25" sqref="A25:A26"/>
    </sheetView>
  </sheetViews>
  <sheetFormatPr defaultRowHeight="12.75"/>
  <cols>
    <col min="1" max="1" width="12.28515625" customWidth="1"/>
    <col min="2" max="2" width="0" hidden="1" customWidth="1"/>
    <col min="4" max="4" width="10.85546875" customWidth="1"/>
    <col min="7" max="7" width="0" hidden="1" customWidth="1"/>
    <col min="8" max="8" width="7.42578125" customWidth="1"/>
  </cols>
  <sheetData>
    <row r="2" spans="1:12" ht="36.6" customHeight="1">
      <c r="A2" s="251" t="s">
        <v>3292</v>
      </c>
      <c r="B2" s="251"/>
      <c r="C2" s="251"/>
      <c r="D2" s="251"/>
      <c r="E2" s="251"/>
      <c r="F2" s="251"/>
      <c r="I2" s="257" t="s">
        <v>3293</v>
      </c>
      <c r="J2" s="257"/>
      <c r="K2" s="257"/>
      <c r="L2" s="257"/>
    </row>
    <row r="3" spans="1:12" ht="38.25">
      <c r="A3" s="60"/>
      <c r="B3" s="61" t="s">
        <v>3291</v>
      </c>
      <c r="C3" s="61" t="s">
        <v>3294</v>
      </c>
      <c r="D3" s="62" t="s">
        <v>3289</v>
      </c>
      <c r="E3" s="62" t="s">
        <v>3290</v>
      </c>
      <c r="F3" s="63"/>
    </row>
    <row r="4" spans="1:12">
      <c r="A4" s="64" t="s">
        <v>3295</v>
      </c>
      <c r="B4" s="69">
        <v>0.46529999999999999</v>
      </c>
      <c r="C4" s="89">
        <v>46.53</v>
      </c>
      <c r="D4" s="73">
        <f>SUMIFS(Таб[Потужність, МВт],Таб[Тип],"СЕС",Таб[Зелений Тариф ЕЦ],Лист2!B4)</f>
        <v>54.259853353014904</v>
      </c>
      <c r="E4" s="83">
        <f>D4/$D$21</f>
        <v>9.447994855828876E-3</v>
      </c>
      <c r="F4" s="79"/>
      <c r="G4">
        <f>B4*100</f>
        <v>46.53</v>
      </c>
    </row>
    <row r="5" spans="1:12">
      <c r="A5" s="65"/>
      <c r="B5" s="33">
        <v>0.44590000000000002</v>
      </c>
      <c r="C5" s="90">
        <v>44.59</v>
      </c>
      <c r="D5" s="74">
        <f>SUMIFS(Таб[Потужність, МВт],Таб[Тип],"СЕС",Таб[Зелений Тариф ЕЦ],Лист2!B5)</f>
        <v>0.24099999999999999</v>
      </c>
      <c r="E5" s="84">
        <f t="shared" ref="E5:E20" si="0">D5/$D$21</f>
        <v>4.1964115631511216E-5</v>
      </c>
      <c r="F5" s="80"/>
      <c r="G5">
        <f t="shared" ref="G5:G20" si="1">B5*100</f>
        <v>44.59</v>
      </c>
    </row>
    <row r="6" spans="1:12">
      <c r="A6" s="65"/>
      <c r="B6" s="33">
        <v>0.42649999999999999</v>
      </c>
      <c r="C6" s="90">
        <v>42.65</v>
      </c>
      <c r="D6" s="74">
        <f>SUMIFS(Таб[Потужність, МВт],Таб[Тип],"СЕС",Таб[Зелений Тариф ЕЦ],Лист2!B6)</f>
        <v>0.16300000000000001</v>
      </c>
      <c r="E6" s="84">
        <f t="shared" si="0"/>
        <v>2.8382368663636216E-5</v>
      </c>
      <c r="F6" s="80"/>
      <c r="G6">
        <f t="shared" si="1"/>
        <v>42.65</v>
      </c>
    </row>
    <row r="7" spans="1:12">
      <c r="A7" s="65"/>
      <c r="B7" s="33">
        <v>0.35870000000000002</v>
      </c>
      <c r="C7" s="90">
        <v>35.870000000000005</v>
      </c>
      <c r="D7" s="74">
        <f>SUMIFS(Таб[Потужність, МВт],Таб[Тип],"СЕС",Таб[Зелений Тариф ЕЦ],Лист2!B7)</f>
        <v>0.81300000000000006</v>
      </c>
      <c r="E7" s="84">
        <f t="shared" si="0"/>
        <v>1.4156359339592789E-4</v>
      </c>
      <c r="F7" s="80"/>
      <c r="G7">
        <f t="shared" si="1"/>
        <v>35.870000000000005</v>
      </c>
    </row>
    <row r="8" spans="1:12">
      <c r="A8" s="65"/>
      <c r="B8" s="88">
        <v>0.34899999999999998</v>
      </c>
      <c r="C8" s="74">
        <v>34.9</v>
      </c>
      <c r="D8" s="74">
        <f>SUMIFS(Таб[Потужність, МВт],Таб[Тип],"СЕС",Таб[Зелений Тариф ЕЦ],Лист2!B8)</f>
        <v>0.64800000000000002</v>
      </c>
      <c r="E8" s="84">
        <f t="shared" si="0"/>
        <v>1.1283297481003846E-4</v>
      </c>
      <c r="F8" s="80"/>
      <c r="G8">
        <f t="shared" si="1"/>
        <v>34.9</v>
      </c>
    </row>
    <row r="9" spans="1:12">
      <c r="A9" s="65"/>
      <c r="B9" s="33">
        <v>0.33929999999999999</v>
      </c>
      <c r="C9" s="90">
        <v>33.93</v>
      </c>
      <c r="D9" s="74">
        <f>SUMIFS(Таб[Потужність, МВт],Таб[Тип],"СЕС",Таб[Зелений Тариф ЕЦ],Лист2!B9)</f>
        <v>60.817865452648775</v>
      </c>
      <c r="E9" s="84">
        <f t="shared" si="0"/>
        <v>1.0589908457745413E-2</v>
      </c>
      <c r="F9" s="80"/>
      <c r="G9">
        <f t="shared" si="1"/>
        <v>33.93</v>
      </c>
    </row>
    <row r="10" spans="1:12">
      <c r="A10" s="65"/>
      <c r="B10" s="33">
        <v>0.3226</v>
      </c>
      <c r="C10" s="90">
        <v>32.26</v>
      </c>
      <c r="D10" s="74">
        <f>SUMIFS(Таб[Потужність, МВт],Таб[Тип],"СЕС",Таб[Зелений Тариф ЕЦ],Лист2!B10)</f>
        <v>0.03</v>
      </c>
      <c r="E10" s="84">
        <f t="shared" si="0"/>
        <v>5.2237488337980762E-6</v>
      </c>
      <c r="F10" s="80"/>
      <c r="G10">
        <f t="shared" si="1"/>
        <v>32.26</v>
      </c>
    </row>
    <row r="11" spans="1:12">
      <c r="A11" s="65"/>
      <c r="B11" s="33">
        <v>0.30530000000000002</v>
      </c>
      <c r="C11" s="90">
        <v>30.53</v>
      </c>
      <c r="D11" s="74">
        <f>SUMIFS(Таб[Потужність, МВт],Таб[Тип],"СЕС",Таб[Зелений Тариф ЕЦ],Лист2!B11)</f>
        <v>2.1870000000000003</v>
      </c>
      <c r="E11" s="84">
        <f t="shared" si="0"/>
        <v>3.8081128998387984E-4</v>
      </c>
      <c r="F11" s="80"/>
      <c r="G11">
        <f t="shared" si="1"/>
        <v>30.53</v>
      </c>
    </row>
    <row r="12" spans="1:12">
      <c r="A12" s="66"/>
      <c r="B12" s="70">
        <v>0.25850000000000001</v>
      </c>
      <c r="C12" s="91">
        <v>25.85</v>
      </c>
      <c r="D12" s="75">
        <f>SUMIFS(Таб[Потужність, МВт],Таб[Тип],"СЕС",Таб[Зелений Тариф ЕЦ],Лист2!B12)</f>
        <v>301.14299999999997</v>
      </c>
      <c r="E12" s="85">
        <f t="shared" si="0"/>
        <v>5.2436513168548471E-2</v>
      </c>
      <c r="F12" s="81">
        <f>SUM(E4:E12)</f>
        <v>7.3185194573441553E-2</v>
      </c>
      <c r="G12">
        <f t="shared" si="1"/>
        <v>25.85</v>
      </c>
    </row>
    <row r="13" spans="1:12">
      <c r="A13" s="67" t="s">
        <v>3296</v>
      </c>
      <c r="B13" s="71">
        <v>0.1804</v>
      </c>
      <c r="C13" s="92">
        <v>18.04</v>
      </c>
      <c r="D13" s="76">
        <f>SUMIFS(Таб[Потужність, МВт],Таб[Тип],"СЕС",Таб[Зелений Тариф ЕЦ],Лист2!B13)</f>
        <v>0.81700000000000017</v>
      </c>
      <c r="E13" s="86">
        <f t="shared" si="0"/>
        <v>1.4226009324043432E-4</v>
      </c>
      <c r="F13" s="82"/>
      <c r="G13">
        <f t="shared" si="1"/>
        <v>18.04</v>
      </c>
    </row>
    <row r="14" spans="1:12">
      <c r="A14" s="65"/>
      <c r="B14" s="33">
        <v>0.17230000000000001</v>
      </c>
      <c r="C14" s="90">
        <v>17.23</v>
      </c>
      <c r="D14" s="74">
        <f>SUMIFS(Таб[Потужність, МВт],Таб[Тип],"СЕС",Таб[Зелений Тариф ЕЦ],Лист2!B14)</f>
        <v>4.415</v>
      </c>
      <c r="E14" s="84">
        <f t="shared" si="0"/>
        <v>7.687617033739503E-4</v>
      </c>
      <c r="F14" s="80"/>
      <c r="G14">
        <f t="shared" si="1"/>
        <v>17.23</v>
      </c>
    </row>
    <row r="15" spans="1:12">
      <c r="A15" s="65"/>
      <c r="B15" s="33">
        <v>0.1696</v>
      </c>
      <c r="C15" s="90">
        <v>16.96</v>
      </c>
      <c r="D15" s="74">
        <f>SUMIFS(Таб[Потужність, МВт],Таб[Тип],"СЕС",Таб[Зелений Тариф ЕЦ],Лист2!B15)</f>
        <v>23.211281194336323</v>
      </c>
      <c r="E15" s="84">
        <f t="shared" si="0"/>
        <v>4.0416634356624532E-3</v>
      </c>
      <c r="F15" s="80"/>
      <c r="G15">
        <f t="shared" si="1"/>
        <v>16.96</v>
      </c>
    </row>
    <row r="16" spans="1:12">
      <c r="A16" s="65"/>
      <c r="B16" s="33">
        <v>0.16370000000000001</v>
      </c>
      <c r="C16" s="90">
        <v>16.37</v>
      </c>
      <c r="D16" s="74">
        <f>SUMIFS(Таб[Потужність, МВт],Таб[Тип],"СЕС",Таб[Зелений Тариф ЕЦ],Лист2!B16)</f>
        <v>124.02600000000002</v>
      </c>
      <c r="E16" s="84">
        <f t="shared" si="0"/>
        <v>2.1596022428688012E-2</v>
      </c>
      <c r="F16" s="80"/>
      <c r="G16">
        <f t="shared" si="1"/>
        <v>16.37</v>
      </c>
    </row>
    <row r="17" spans="1:7">
      <c r="A17" s="65"/>
      <c r="B17" s="33">
        <v>0.15989999999999999</v>
      </c>
      <c r="C17" s="90">
        <v>15.989999999999998</v>
      </c>
      <c r="D17" s="74">
        <f>SUMIFS(Таб[Потужність, МВт],Таб[Тип],"СЕС",Таб[Зелений Тариф ЕЦ],Лист2!B17)</f>
        <v>160.98100000000002</v>
      </c>
      <c r="E17" s="84">
        <f t="shared" si="0"/>
        <v>2.8030810367121611E-2</v>
      </c>
      <c r="F17" s="80"/>
      <c r="G17">
        <f t="shared" si="1"/>
        <v>15.989999999999998</v>
      </c>
    </row>
    <row r="18" spans="1:7">
      <c r="A18" s="65"/>
      <c r="B18" s="33">
        <v>0.15029999999999999</v>
      </c>
      <c r="C18" s="90">
        <v>15.03</v>
      </c>
      <c r="D18" s="74">
        <f>SUMIFS(Таб[Потужність, МВт],Таб[Тип],"СЕС",Таб[Зелений Тариф ЕЦ],Лист2!B18)</f>
        <v>4926.1499999999969</v>
      </c>
      <c r="E18" s="84">
        <f t="shared" si="0"/>
        <v>0.85776567725381259</v>
      </c>
      <c r="F18" s="80"/>
      <c r="G18">
        <f t="shared" si="1"/>
        <v>15.03</v>
      </c>
    </row>
    <row r="19" spans="1:7">
      <c r="A19" s="65"/>
      <c r="B19" s="33">
        <v>0.12280000000000001</v>
      </c>
      <c r="C19" s="90">
        <v>12.280000000000001</v>
      </c>
      <c r="D19" s="74">
        <f>SUMIFS(Таб[Потужність, МВт],Таб[Тип],"СЕС",Таб[Зелений Тариф ЕЦ],Лист2!B19)</f>
        <v>1.3639999999999999</v>
      </c>
      <c r="E19" s="84">
        <f t="shared" si="0"/>
        <v>2.3750644697668587E-4</v>
      </c>
      <c r="F19" s="80"/>
      <c r="G19">
        <f t="shared" si="1"/>
        <v>12.280000000000001</v>
      </c>
    </row>
    <row r="20" spans="1:7">
      <c r="A20" s="68"/>
      <c r="B20" s="72">
        <v>0.11260000000000001</v>
      </c>
      <c r="C20" s="93">
        <v>11.26</v>
      </c>
      <c r="D20" s="77">
        <f>SUMIFS(Таб[Потужність, МВт],Таб[Тип],"СЕС",Таб[Зелений Тариф ЕЦ],Лист2!B20)</f>
        <v>81.734999999999985</v>
      </c>
      <c r="E20" s="87">
        <f t="shared" si="0"/>
        <v>1.4232103697682857E-2</v>
      </c>
      <c r="F20" s="81">
        <f>SUM(E13:E20)</f>
        <v>0.9268148054265587</v>
      </c>
      <c r="G20">
        <f t="shared" si="1"/>
        <v>11.26</v>
      </c>
    </row>
    <row r="21" spans="1:7">
      <c r="A21" s="60"/>
      <c r="B21" s="58"/>
      <c r="C21" s="62"/>
      <c r="D21" s="78">
        <f>SUM(D4:D20)</f>
        <v>5743.0019999999959</v>
      </c>
      <c r="E21" s="59">
        <f>SUM(E4:E20)</f>
        <v>1.0000000000000002</v>
      </c>
      <c r="F21" s="63"/>
    </row>
  </sheetData>
  <sortState xmlns:xlrd2="http://schemas.microsoft.com/office/spreadsheetml/2017/richdata2" ref="B3:B19">
    <sortCondition descending="1" ref="B3:B19"/>
  </sortState>
  <mergeCells count="2">
    <mergeCell ref="A2:F2"/>
    <mergeCell ref="I2:L2"/>
  </mergeCells>
  <conditionalFormatting sqref="E4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{0AAD3AFE-91B7-4695-A5B3-1D46F262B2F8}</x14:id>
        </ext>
      </extLst>
    </cfRule>
  </conditionalFormatting>
  <pageMargins left="0.7" right="0.7" top="0.75" bottom="0.75" header="0.3" footer="0.3"/>
  <pageSetup paperSize="9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D3AFE-91B7-4695-A5B3-1D46F262B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BD71"/>
  <sheetViews>
    <sheetView topLeftCell="A28" zoomScale="55" zoomScaleNormal="55" workbookViewId="0">
      <selection activeCell="E73" sqref="E73"/>
    </sheetView>
  </sheetViews>
  <sheetFormatPr defaultRowHeight="12.75"/>
  <cols>
    <col min="2" max="2" width="12.28515625" customWidth="1"/>
    <col min="3" max="3" width="14.7109375" customWidth="1"/>
    <col min="6" max="6" width="42.28515625" customWidth="1"/>
    <col min="7" max="7" width="24.7109375" customWidth="1"/>
    <col min="8" max="8" width="16.42578125" customWidth="1"/>
    <col min="9" max="9" width="14.28515625" customWidth="1"/>
    <col min="10" max="10" width="18.7109375" customWidth="1"/>
    <col min="11" max="11" width="21" customWidth="1"/>
    <col min="12" max="12" width="17.85546875" customWidth="1"/>
    <col min="13" max="13" width="17.28515625" customWidth="1"/>
    <col min="14" max="14" width="9.5703125" customWidth="1"/>
    <col min="15" max="15" width="10.7109375" customWidth="1"/>
    <col min="17" max="17" width="20.7109375" customWidth="1"/>
    <col min="18" max="18" width="13.7109375" customWidth="1"/>
    <col min="19" max="19" width="10.7109375" customWidth="1"/>
    <col min="20" max="20" width="14.42578125" customWidth="1"/>
    <col min="22" max="23" width="9.28515625" customWidth="1"/>
    <col min="25" max="25" width="9" customWidth="1"/>
    <col min="26" max="29" width="9.28515625" customWidth="1"/>
    <col min="30" max="30" width="9.7109375" customWidth="1"/>
    <col min="31" max="31" width="9.28515625" customWidth="1"/>
    <col min="34" max="35" width="9.28515625" customWidth="1"/>
    <col min="37" max="37" width="9" customWidth="1"/>
    <col min="38" max="41" width="9.28515625" customWidth="1"/>
    <col min="42" max="42" width="9.7109375" customWidth="1"/>
    <col min="43" max="43" width="9.28515625" customWidth="1"/>
    <col min="46" max="47" width="9.28515625" customWidth="1"/>
    <col min="49" max="49" width="9" customWidth="1"/>
    <col min="50" max="53" width="9.28515625" customWidth="1"/>
    <col min="54" max="54" width="9.7109375" customWidth="1"/>
    <col min="55" max="55" width="9.28515625" customWidth="1"/>
  </cols>
  <sheetData>
    <row r="2" spans="1:56" ht="13.5" thickBot="1"/>
    <row r="3" spans="1:56" ht="56.45" customHeight="1" thickBot="1">
      <c r="B3" t="s">
        <v>0</v>
      </c>
      <c r="C3" t="s">
        <v>1</v>
      </c>
      <c r="D3" t="s">
        <v>2</v>
      </c>
      <c r="E3" t="s">
        <v>3244</v>
      </c>
      <c r="F3" s="1" t="s">
        <v>3</v>
      </c>
      <c r="G3" t="s">
        <v>4</v>
      </c>
      <c r="H3" t="s">
        <v>5</v>
      </c>
      <c r="I3" t="s">
        <v>6</v>
      </c>
      <c r="J3" t="s">
        <v>7</v>
      </c>
      <c r="K3" s="1" t="s">
        <v>8</v>
      </c>
      <c r="L3" s="1" t="s">
        <v>9</v>
      </c>
      <c r="M3" s="4" t="s">
        <v>10</v>
      </c>
      <c r="N3" s="24" t="s">
        <v>11</v>
      </c>
      <c r="O3" s="24" t="s">
        <v>12</v>
      </c>
      <c r="P3" s="25" t="s">
        <v>13</v>
      </c>
      <c r="Q3" s="1" t="s">
        <v>14</v>
      </c>
      <c r="R3" s="1" t="s">
        <v>15</v>
      </c>
      <c r="S3" s="1" t="s">
        <v>16</v>
      </c>
      <c r="T3" s="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</row>
    <row r="4" spans="1:56">
      <c r="A4" t="s">
        <v>118</v>
      </c>
      <c r="C4" t="s">
        <v>58</v>
      </c>
      <c r="D4" t="s">
        <v>119</v>
      </c>
      <c r="E4" t="s">
        <v>118</v>
      </c>
      <c r="F4" s="1" t="s">
        <v>120</v>
      </c>
      <c r="G4" t="s">
        <v>121</v>
      </c>
      <c r="H4" t="s">
        <v>122</v>
      </c>
      <c r="J4" t="s">
        <v>123</v>
      </c>
      <c r="K4" t="s">
        <v>124</v>
      </c>
      <c r="L4" s="7">
        <v>16</v>
      </c>
      <c r="M4" s="8">
        <v>43655</v>
      </c>
      <c r="N4">
        <v>7</v>
      </c>
      <c r="O4" t="s">
        <v>60</v>
      </c>
      <c r="P4">
        <v>2019</v>
      </c>
      <c r="Q4">
        <v>0.1239</v>
      </c>
      <c r="R4" s="10"/>
      <c r="S4" s="11">
        <f>ROUND(ТабБіо[[#This Row],[Зелений Тариф ЕЦ]]+ТабБіо[[#This Row],[Зелений Тариф ЕЦ]]*ТабБіо[[#This Row],[% надбавки]],4)</f>
        <v>0.1239</v>
      </c>
      <c r="T4" s="26"/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6">
      <c r="A5" t="s">
        <v>118</v>
      </c>
      <c r="B5" t="s">
        <v>125</v>
      </c>
      <c r="C5">
        <v>33593431</v>
      </c>
      <c r="D5" t="s">
        <v>119</v>
      </c>
      <c r="E5" t="s">
        <v>118</v>
      </c>
      <c r="F5" s="1" t="s">
        <v>126</v>
      </c>
      <c r="G5" t="s">
        <v>127</v>
      </c>
      <c r="H5" t="s">
        <v>107</v>
      </c>
      <c r="J5" t="s">
        <v>128</v>
      </c>
      <c r="K5" t="s">
        <v>128</v>
      </c>
      <c r="L5" s="7">
        <v>19</v>
      </c>
      <c r="M5" s="8">
        <v>41606</v>
      </c>
      <c r="N5">
        <v>11</v>
      </c>
      <c r="O5" t="s">
        <v>71</v>
      </c>
      <c r="P5">
        <v>2013</v>
      </c>
      <c r="Q5">
        <v>0.1239</v>
      </c>
      <c r="R5" s="10"/>
      <c r="S5" s="11">
        <f>ROUND(ТабБіо[[#This Row],[Зелений Тариф ЕЦ]]+ТабБіо[[#This Row],[Зелений Тариф ЕЦ]]*ТабБіо[[#This Row],[% надбавки]],4)</f>
        <v>0.1239</v>
      </c>
      <c r="T5" s="26"/>
      <c r="U5">
        <v>1.929</v>
      </c>
      <c r="V5">
        <v>1.3049999999999999</v>
      </c>
      <c r="W5">
        <v>1.8220000000000001</v>
      </c>
      <c r="X5">
        <v>2.2839999999999998</v>
      </c>
      <c r="Y5">
        <v>1.9960000000000004</v>
      </c>
      <c r="Z5">
        <v>2.5419999999999998</v>
      </c>
      <c r="AA5">
        <v>2.8089999999999993</v>
      </c>
      <c r="AB5">
        <v>2.3370000000000015</v>
      </c>
      <c r="AC5">
        <v>2.5210000000000008</v>
      </c>
      <c r="AD5">
        <v>1.6409999999999982</v>
      </c>
      <c r="AE5">
        <v>0.57900000000000063</v>
      </c>
      <c r="AF5">
        <v>2.8969999999999985</v>
      </c>
      <c r="AG5">
        <v>2.4940000000000002</v>
      </c>
      <c r="AH5">
        <v>1.9570000000000001</v>
      </c>
      <c r="AI5">
        <v>1.976</v>
      </c>
      <c r="AJ5">
        <v>1.698</v>
      </c>
      <c r="AK5">
        <v>1.9179999999999999</v>
      </c>
      <c r="AL5">
        <v>1.4410000000000001</v>
      </c>
      <c r="AM5">
        <v>2.0070000000000001</v>
      </c>
      <c r="AN5">
        <v>2.1549999999999998</v>
      </c>
      <c r="AO5">
        <v>1.77</v>
      </c>
      <c r="AP5">
        <v>2.1110000000000002</v>
      </c>
      <c r="AQ5">
        <v>1.611</v>
      </c>
      <c r="AR5">
        <v>1.9159999999999999</v>
      </c>
      <c r="AS5">
        <v>2.214</v>
      </c>
      <c r="AT5">
        <v>1.8859999999999999</v>
      </c>
      <c r="AU5">
        <v>3.8730000000000002</v>
      </c>
      <c r="AV5">
        <v>5.0129999999999999</v>
      </c>
      <c r="AW5">
        <v>3.22</v>
      </c>
      <c r="AX5">
        <v>4.9889999999999999</v>
      </c>
      <c r="AY5">
        <v>6.6000000000000003E-2</v>
      </c>
      <c r="AZ5">
        <v>2.641</v>
      </c>
    </row>
    <row r="6" spans="1:56">
      <c r="A6" t="s">
        <v>118</v>
      </c>
      <c r="B6" t="s">
        <v>129</v>
      </c>
      <c r="C6">
        <v>37585864</v>
      </c>
      <c r="D6" t="s">
        <v>119</v>
      </c>
      <c r="E6" t="s">
        <v>118</v>
      </c>
      <c r="F6" s="1" t="s">
        <v>130</v>
      </c>
      <c r="G6" t="s">
        <v>131</v>
      </c>
      <c r="H6" t="s">
        <v>82</v>
      </c>
      <c r="I6" t="s">
        <v>132</v>
      </c>
      <c r="J6" t="s">
        <v>132</v>
      </c>
      <c r="K6" t="s">
        <v>133</v>
      </c>
      <c r="L6" s="7">
        <v>5</v>
      </c>
      <c r="M6" s="8">
        <v>41627</v>
      </c>
      <c r="N6">
        <v>12</v>
      </c>
      <c r="O6" t="s">
        <v>71</v>
      </c>
      <c r="P6">
        <v>2013</v>
      </c>
      <c r="Q6">
        <v>0.1239</v>
      </c>
      <c r="R6" s="10"/>
      <c r="S6" s="11">
        <f>ROUND(ТабБіо[[#This Row],[Зелений Тариф ЕЦ]]+ТабБіо[[#This Row],[Зелений Тариф ЕЦ]]*ТабБіо[[#This Row],[% надбавки]],4)</f>
        <v>0.1239</v>
      </c>
      <c r="T6" s="26"/>
      <c r="U6">
        <v>1.2390000000000001</v>
      </c>
      <c r="V6">
        <v>1.131</v>
      </c>
      <c r="W6">
        <v>1.3209999999999997</v>
      </c>
      <c r="X6">
        <v>1.1720000000000006</v>
      </c>
      <c r="Y6">
        <v>1.2869999999999999</v>
      </c>
      <c r="Z6">
        <v>1.2869999999999999</v>
      </c>
      <c r="AA6">
        <v>1.2529999999999992</v>
      </c>
      <c r="AB6">
        <v>1.2210000000000001</v>
      </c>
      <c r="AC6">
        <v>1.5609999999999999</v>
      </c>
      <c r="AD6">
        <v>0.99300000000000033</v>
      </c>
      <c r="AE6">
        <v>1.5500000000000007</v>
      </c>
      <c r="AF6">
        <v>1.0729999999999986</v>
      </c>
      <c r="AG6">
        <v>0.83899999999999997</v>
      </c>
      <c r="AH6">
        <v>0.72799999999999998</v>
      </c>
      <c r="AI6">
        <v>0.879</v>
      </c>
      <c r="AJ6">
        <v>1.2110000000000001</v>
      </c>
      <c r="AK6">
        <v>1.012</v>
      </c>
      <c r="AL6">
        <v>1.147</v>
      </c>
      <c r="AM6">
        <v>1.218</v>
      </c>
      <c r="AN6">
        <v>1.131</v>
      </c>
      <c r="AO6">
        <v>1.29</v>
      </c>
      <c r="AP6">
        <v>0.82899999999999996</v>
      </c>
      <c r="AQ6">
        <v>1.0009999999999999</v>
      </c>
      <c r="AR6">
        <v>0.83799999999999997</v>
      </c>
      <c r="AS6">
        <v>0.35199999999999998</v>
      </c>
      <c r="AT6">
        <v>0.187</v>
      </c>
      <c r="AU6">
        <v>0.92600000000000005</v>
      </c>
      <c r="AV6">
        <v>0.98699999999999999</v>
      </c>
      <c r="AW6">
        <v>1.5269999999999999</v>
      </c>
      <c r="AX6">
        <v>0.72099999999999997</v>
      </c>
      <c r="AY6">
        <v>0.45200000000000001</v>
      </c>
      <c r="AZ6">
        <v>0</v>
      </c>
    </row>
    <row r="7" spans="1:56">
      <c r="A7" t="s">
        <v>118</v>
      </c>
      <c r="B7" t="s">
        <v>134</v>
      </c>
      <c r="C7">
        <v>373869</v>
      </c>
      <c r="D7" t="s">
        <v>119</v>
      </c>
      <c r="E7" t="s">
        <v>118</v>
      </c>
      <c r="F7" s="1" t="s">
        <v>135</v>
      </c>
      <c r="G7" t="s">
        <v>131</v>
      </c>
      <c r="H7" t="s">
        <v>136</v>
      </c>
      <c r="I7" t="s">
        <v>137</v>
      </c>
      <c r="J7" t="s">
        <v>137</v>
      </c>
      <c r="K7" t="s">
        <v>138</v>
      </c>
      <c r="L7" s="7">
        <v>1.75</v>
      </c>
      <c r="M7" s="8">
        <v>40179</v>
      </c>
      <c r="N7">
        <v>1</v>
      </c>
      <c r="O7" t="s">
        <v>67</v>
      </c>
      <c r="P7">
        <v>2010</v>
      </c>
      <c r="Q7">
        <v>0.1239</v>
      </c>
      <c r="R7" s="10"/>
      <c r="S7" s="11">
        <f>ROUND(ТабБіо[[#This Row],[Зелений Тариф ЕЦ]]+ТабБіо[[#This Row],[Зелений Тариф ЕЦ]]*ТабБіо[[#This Row],[% надбавки]],4)</f>
        <v>0.1239</v>
      </c>
      <c r="T7" s="26"/>
      <c r="U7">
        <v>1.1930000000000001</v>
      </c>
      <c r="V7">
        <v>1.077</v>
      </c>
      <c r="W7">
        <v>1.044</v>
      </c>
      <c r="X7">
        <v>1.0780000000000003</v>
      </c>
      <c r="Y7">
        <v>1.157</v>
      </c>
      <c r="Z7">
        <v>1.0189999999999992</v>
      </c>
      <c r="AA7">
        <v>0.96900000000000031</v>
      </c>
      <c r="AB7">
        <v>0.28399999999999981</v>
      </c>
      <c r="AC7">
        <v>0.61700000000000088</v>
      </c>
      <c r="AD7">
        <v>1.1489999999999991</v>
      </c>
      <c r="AE7">
        <v>0.97000000000000064</v>
      </c>
      <c r="AF7">
        <v>1.0459999999999994</v>
      </c>
      <c r="AG7">
        <v>1.1339999999999999</v>
      </c>
      <c r="AH7">
        <v>0.95699999999999996</v>
      </c>
      <c r="AI7">
        <v>0.73199999999999998</v>
      </c>
      <c r="AJ7">
        <v>0.94099999999999995</v>
      </c>
      <c r="AK7">
        <v>0.64400000000000002</v>
      </c>
      <c r="AL7">
        <v>0</v>
      </c>
      <c r="AM7">
        <v>0</v>
      </c>
      <c r="AN7">
        <v>0</v>
      </c>
      <c r="AO7">
        <v>0.85499999999999998</v>
      </c>
      <c r="AP7">
        <v>1.163</v>
      </c>
      <c r="AQ7">
        <v>1.0329999999999999</v>
      </c>
      <c r="AR7">
        <v>1.1359999999999999</v>
      </c>
      <c r="AS7">
        <v>1.0469999999999999</v>
      </c>
      <c r="AT7">
        <v>1.0389999999999999</v>
      </c>
      <c r="AU7">
        <v>0.96899999999999997</v>
      </c>
      <c r="AV7">
        <v>1.111</v>
      </c>
      <c r="AW7">
        <v>0.96</v>
      </c>
      <c r="AX7">
        <v>1.022</v>
      </c>
      <c r="AY7">
        <v>0.94199999999999995</v>
      </c>
      <c r="AZ7">
        <v>0.06</v>
      </c>
    </row>
    <row r="8" spans="1:56">
      <c r="A8" t="s">
        <v>118</v>
      </c>
      <c r="C8" t="s">
        <v>58</v>
      </c>
      <c r="D8" t="s">
        <v>119</v>
      </c>
      <c r="E8" t="s">
        <v>118</v>
      </c>
      <c r="F8" s="1" t="s">
        <v>139</v>
      </c>
      <c r="G8" t="s">
        <v>140</v>
      </c>
      <c r="H8" t="s">
        <v>141</v>
      </c>
      <c r="J8" t="s">
        <v>142</v>
      </c>
      <c r="K8" t="s">
        <v>143</v>
      </c>
      <c r="L8" s="7">
        <v>4</v>
      </c>
      <c r="M8" s="8">
        <v>42558</v>
      </c>
      <c r="N8">
        <v>7</v>
      </c>
      <c r="O8" t="s">
        <v>60</v>
      </c>
      <c r="P8">
        <v>2016</v>
      </c>
      <c r="Q8">
        <v>0.1239</v>
      </c>
      <c r="R8" s="10"/>
      <c r="S8" s="11">
        <f>ROUND(ТабБіо[[#This Row],[Зелений Тариф ЕЦ]]+ТабБіо[[#This Row],[Зелений Тариф ЕЦ]]*ТабБіо[[#This Row],[% надбавки]],4)</f>
        <v>0.1239</v>
      </c>
      <c r="T8" s="26"/>
      <c r="U8">
        <v>1.304</v>
      </c>
      <c r="V8">
        <v>1.1660000000000001</v>
      </c>
      <c r="W8">
        <v>1.5379999999999998</v>
      </c>
      <c r="X8">
        <v>0.86500000000000021</v>
      </c>
      <c r="Y8">
        <v>1.2809999999999997</v>
      </c>
      <c r="Z8">
        <v>0.72499999999999964</v>
      </c>
      <c r="AA8">
        <v>0</v>
      </c>
      <c r="AB8">
        <v>1.5540000000000003</v>
      </c>
      <c r="AC8">
        <v>1.7550000000000008</v>
      </c>
      <c r="AD8">
        <v>2.0229999999999997</v>
      </c>
      <c r="AE8">
        <v>2.0449999999999999</v>
      </c>
      <c r="AF8">
        <v>2.0809999999999995</v>
      </c>
      <c r="AG8">
        <v>1.9630000000000001</v>
      </c>
      <c r="AH8">
        <v>1.9079999999999999</v>
      </c>
      <c r="AI8">
        <v>1.7989999999999999</v>
      </c>
      <c r="AJ8">
        <v>1.087</v>
      </c>
      <c r="AK8">
        <v>2.1349999999999998</v>
      </c>
      <c r="AL8">
        <v>1.982</v>
      </c>
      <c r="AM8">
        <v>2.149</v>
      </c>
      <c r="AN8">
        <v>2.1339999999999999</v>
      </c>
      <c r="AO8">
        <v>1.76</v>
      </c>
      <c r="AP8">
        <v>2.2000000000000002</v>
      </c>
      <c r="AQ8">
        <v>2.11</v>
      </c>
      <c r="AR8">
        <v>1.99</v>
      </c>
      <c r="AS8">
        <v>2.181</v>
      </c>
      <c r="AT8">
        <v>1.944</v>
      </c>
      <c r="AU8">
        <v>1.8169999999999999</v>
      </c>
      <c r="AV8">
        <v>2.1019999999999999</v>
      </c>
      <c r="AW8">
        <v>2.14</v>
      </c>
      <c r="AX8">
        <v>1.6539999999999999</v>
      </c>
      <c r="AY8">
        <v>2.097</v>
      </c>
      <c r="AZ8">
        <v>2.0369999999999999</v>
      </c>
    </row>
    <row r="9" spans="1:56">
      <c r="A9" t="s">
        <v>118</v>
      </c>
      <c r="C9" t="s">
        <v>58</v>
      </c>
      <c r="D9" t="s">
        <v>144</v>
      </c>
      <c r="E9" t="s">
        <v>3245</v>
      </c>
      <c r="F9" s="1" t="s">
        <v>145</v>
      </c>
      <c r="G9" t="s">
        <v>131</v>
      </c>
      <c r="H9" t="s">
        <v>56</v>
      </c>
      <c r="J9" t="s">
        <v>146</v>
      </c>
      <c r="K9" t="s">
        <v>147</v>
      </c>
      <c r="L9" s="7">
        <v>2</v>
      </c>
      <c r="M9" s="8">
        <v>41270</v>
      </c>
      <c r="N9">
        <v>12</v>
      </c>
      <c r="O9" t="s">
        <v>71</v>
      </c>
      <c r="P9">
        <v>2012</v>
      </c>
      <c r="Q9">
        <v>0.1239</v>
      </c>
      <c r="R9" s="10"/>
      <c r="S9" s="11">
        <f>ROUND(ТабБіо[[#This Row],[Зелений Тариф ЕЦ]]+ТабБіо[[#This Row],[Зелений Тариф ЕЦ]]*ТабБіо[[#This Row],[% надбавки]],4)</f>
        <v>0.1239</v>
      </c>
      <c r="T9" s="26"/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6">
      <c r="A10" t="s">
        <v>118</v>
      </c>
      <c r="B10" t="s">
        <v>148</v>
      </c>
      <c r="C10">
        <v>25550470</v>
      </c>
      <c r="D10" t="s">
        <v>119</v>
      </c>
      <c r="E10" t="s">
        <v>118</v>
      </c>
      <c r="F10" s="1" t="s">
        <v>149</v>
      </c>
      <c r="H10" t="s">
        <v>98</v>
      </c>
      <c r="I10" t="s">
        <v>150</v>
      </c>
      <c r="J10" t="s">
        <v>151</v>
      </c>
      <c r="K10" t="s">
        <v>152</v>
      </c>
      <c r="L10" s="7">
        <v>2.4</v>
      </c>
      <c r="M10" s="8">
        <v>43434</v>
      </c>
      <c r="N10">
        <v>11</v>
      </c>
      <c r="O10" t="s">
        <v>71</v>
      </c>
      <c r="P10">
        <v>2018</v>
      </c>
      <c r="Q10">
        <v>0.1239</v>
      </c>
      <c r="R10" s="10"/>
      <c r="S10" s="11">
        <f>ROUND(ТабБіо[[#This Row],[Зелений Тариф ЕЦ]]+ТабБіо[[#This Row],[Зелений Тариф ЕЦ]]*ТабБіо[[#This Row],[% надбавки]],4)</f>
        <v>0.1239</v>
      </c>
      <c r="T10" s="26"/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1.3280000000000001</v>
      </c>
      <c r="AS10">
        <v>1.1910000000000001</v>
      </c>
      <c r="AT10">
        <v>1.1459999999999999</v>
      </c>
      <c r="AU10">
        <v>1.1599999999999999</v>
      </c>
      <c r="AV10">
        <v>1.353</v>
      </c>
      <c r="AW10">
        <v>1.387</v>
      </c>
      <c r="AX10">
        <v>0.77500000000000002</v>
      </c>
      <c r="AY10">
        <v>1.161</v>
      </c>
      <c r="AZ10">
        <v>1.329</v>
      </c>
    </row>
    <row r="11" spans="1:56">
      <c r="A11" t="s">
        <v>118</v>
      </c>
      <c r="C11" t="s">
        <v>58</v>
      </c>
      <c r="D11" t="s">
        <v>119</v>
      </c>
      <c r="E11" t="s">
        <v>118</v>
      </c>
      <c r="F11" s="1" t="s">
        <v>153</v>
      </c>
      <c r="H11" t="s">
        <v>65</v>
      </c>
      <c r="I11" t="s">
        <v>154</v>
      </c>
      <c r="J11" t="s">
        <v>155</v>
      </c>
      <c r="K11" t="s">
        <v>156</v>
      </c>
      <c r="L11" s="7">
        <v>0.1</v>
      </c>
      <c r="M11" s="8">
        <v>43382</v>
      </c>
      <c r="N11">
        <v>10</v>
      </c>
      <c r="O11" t="s">
        <v>71</v>
      </c>
      <c r="P11">
        <v>2018</v>
      </c>
      <c r="Q11">
        <v>0.1239</v>
      </c>
      <c r="R11" s="10"/>
      <c r="S11" s="11">
        <f>ROUND(ТабБіо[[#This Row],[Зелений Тариф ЕЦ]]+ТабБіо[[#This Row],[Зелений Тариф ЕЦ]]*ТабБіо[[#This Row],[% надбавки]],4)</f>
        <v>0.1239</v>
      </c>
      <c r="T11" s="26"/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6">
      <c r="A12" t="s">
        <v>118</v>
      </c>
      <c r="B12" t="s">
        <v>157</v>
      </c>
      <c r="C12">
        <v>41398163</v>
      </c>
      <c r="D12" t="s">
        <v>119</v>
      </c>
      <c r="E12" t="s">
        <v>118</v>
      </c>
      <c r="F12" s="1" t="s">
        <v>158</v>
      </c>
      <c r="H12" t="s">
        <v>82</v>
      </c>
      <c r="I12" t="s">
        <v>93</v>
      </c>
      <c r="J12" t="s">
        <v>159</v>
      </c>
      <c r="K12" t="s">
        <v>160</v>
      </c>
      <c r="L12" s="7">
        <v>5.12</v>
      </c>
      <c r="M12" s="8">
        <v>43130</v>
      </c>
      <c r="N12">
        <v>1</v>
      </c>
      <c r="O12" t="s">
        <v>67</v>
      </c>
      <c r="P12">
        <v>2018</v>
      </c>
      <c r="Q12">
        <v>0.1239</v>
      </c>
      <c r="R12" s="10">
        <v>0.1</v>
      </c>
      <c r="S12" s="11">
        <f>ROUND(ТабБіо[[#This Row],[Зелений Тариф ЕЦ]]+ТабБіо[[#This Row],[Зелений Тариф ЕЦ]]*ТабБіо[[#This Row],[% надбавки]],4)</f>
        <v>0.1363</v>
      </c>
      <c r="T12" s="26">
        <v>43263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0.67500000000000004</v>
      </c>
      <c r="AL12">
        <v>0.61899999999999999</v>
      </c>
      <c r="AM12">
        <v>0.92700000000000005</v>
      </c>
      <c r="AN12">
        <v>0.378</v>
      </c>
      <c r="AO12">
        <v>6.4000000000000001E-2</v>
      </c>
      <c r="AP12">
        <v>0.499</v>
      </c>
      <c r="AQ12">
        <v>0.84799999999999998</v>
      </c>
      <c r="AR12">
        <v>1.0269999999999999</v>
      </c>
      <c r="AS12">
        <v>0.182</v>
      </c>
      <c r="AT12">
        <v>0.77500000000000002</v>
      </c>
      <c r="AU12">
        <v>1.01</v>
      </c>
      <c r="AV12">
        <v>1.2450000000000001</v>
      </c>
      <c r="AW12">
        <v>1.0149999999999999</v>
      </c>
      <c r="AX12">
        <v>0.79900000000000004</v>
      </c>
      <c r="AY12">
        <v>1.0369999999999999</v>
      </c>
      <c r="AZ12">
        <v>0.68799999999999994</v>
      </c>
    </row>
    <row r="13" spans="1:56">
      <c r="A13" t="s">
        <v>118</v>
      </c>
      <c r="B13" t="s">
        <v>161</v>
      </c>
      <c r="C13">
        <v>33931257</v>
      </c>
      <c r="D13" t="s">
        <v>119</v>
      </c>
      <c r="E13" t="s">
        <v>118</v>
      </c>
      <c r="F13" s="1" t="s">
        <v>162</v>
      </c>
      <c r="G13" t="s">
        <v>131</v>
      </c>
      <c r="H13" t="s">
        <v>163</v>
      </c>
      <c r="J13" t="s">
        <v>164</v>
      </c>
      <c r="K13" t="s">
        <v>165</v>
      </c>
      <c r="L13" s="7">
        <v>8.5</v>
      </c>
      <c r="M13" s="8">
        <v>40330</v>
      </c>
      <c r="N13">
        <v>6</v>
      </c>
      <c r="O13" t="s">
        <v>57</v>
      </c>
      <c r="P13">
        <v>2010</v>
      </c>
      <c r="Q13">
        <v>0.1239</v>
      </c>
      <c r="R13" s="10"/>
      <c r="S13" s="11">
        <f>ROUND(ТабБіо[[#This Row],[Зелений Тариф ЕЦ]]+ТабБіо[[#This Row],[Зелений Тариф ЕЦ]]*ТабБіо[[#This Row],[% надбавки]],4)</f>
        <v>0.1239</v>
      </c>
      <c r="T13" s="26"/>
      <c r="U13">
        <v>2.57</v>
      </c>
      <c r="V13">
        <v>2.1300000000000003</v>
      </c>
      <c r="W13">
        <v>2.6369999999999996</v>
      </c>
      <c r="X13">
        <v>3.7110000000000003</v>
      </c>
      <c r="Y13">
        <v>3.4610000000000003</v>
      </c>
      <c r="Z13">
        <v>3.3129999999999988</v>
      </c>
      <c r="AA13">
        <v>3.4789999999999992</v>
      </c>
      <c r="AB13">
        <v>2.032</v>
      </c>
      <c r="AC13">
        <v>1.3719999999999999</v>
      </c>
      <c r="AD13">
        <v>2.8950000000000031</v>
      </c>
      <c r="AE13">
        <v>3.0960000000000001</v>
      </c>
      <c r="AF13">
        <v>2.8940000000000019</v>
      </c>
      <c r="AG13">
        <v>2.3370000000000002</v>
      </c>
      <c r="AH13">
        <v>2.1539999999999999</v>
      </c>
      <c r="AI13">
        <v>2.1579999999999999</v>
      </c>
      <c r="AJ13">
        <v>2.9289999999999998</v>
      </c>
      <c r="AK13">
        <v>2.6619999999999999</v>
      </c>
      <c r="AL13">
        <v>2.718</v>
      </c>
      <c r="AM13">
        <v>2.7240000000000002</v>
      </c>
      <c r="AN13">
        <v>0.95399999999999996</v>
      </c>
      <c r="AO13">
        <v>1.9990000000000001</v>
      </c>
      <c r="AP13">
        <v>2.302</v>
      </c>
      <c r="AQ13">
        <v>2.133</v>
      </c>
      <c r="AR13">
        <v>2.375</v>
      </c>
      <c r="AS13">
        <v>2.407</v>
      </c>
      <c r="AT13">
        <v>2.246</v>
      </c>
      <c r="AU13">
        <v>2.399</v>
      </c>
      <c r="AV13">
        <v>2.9860000000000002</v>
      </c>
      <c r="AW13">
        <v>3.109</v>
      </c>
      <c r="AX13">
        <v>2.702</v>
      </c>
      <c r="AY13">
        <v>2.0249999999999999</v>
      </c>
      <c r="AZ13">
        <v>2.8420000000000001</v>
      </c>
    </row>
    <row r="14" spans="1:56">
      <c r="A14" t="s">
        <v>118</v>
      </c>
      <c r="B14" t="s">
        <v>166</v>
      </c>
      <c r="C14">
        <v>33742752</v>
      </c>
      <c r="D14" t="s">
        <v>119</v>
      </c>
      <c r="E14" t="s">
        <v>118</v>
      </c>
      <c r="F14" s="1" t="s">
        <v>167</v>
      </c>
      <c r="H14" t="s">
        <v>107</v>
      </c>
      <c r="J14" t="s">
        <v>168</v>
      </c>
      <c r="K14" t="s">
        <v>169</v>
      </c>
      <c r="L14" s="7">
        <v>5</v>
      </c>
      <c r="M14" s="8">
        <v>43434</v>
      </c>
      <c r="N14">
        <v>11</v>
      </c>
      <c r="O14" t="s">
        <v>71</v>
      </c>
      <c r="P14">
        <v>2018</v>
      </c>
      <c r="Q14">
        <v>0.1239</v>
      </c>
      <c r="R14" s="10">
        <v>0.1</v>
      </c>
      <c r="S14" s="11">
        <f>ROUND(ТабБіо[[#This Row],[Зелений Тариф ЕЦ]]+ТабБіо[[#This Row],[Зелений Тариф ЕЦ]]*ТабБіо[[#This Row],[% надбавки]],4)</f>
        <v>0.1363</v>
      </c>
      <c r="T14" s="26">
        <v>43762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0.91500000000000004</v>
      </c>
      <c r="AR14">
        <v>1.397</v>
      </c>
      <c r="AS14">
        <v>1.74</v>
      </c>
      <c r="AT14">
        <v>1.6319999999999999</v>
      </c>
      <c r="AU14">
        <v>1.234</v>
      </c>
      <c r="AV14">
        <v>1.431</v>
      </c>
      <c r="AW14">
        <v>2.8</v>
      </c>
      <c r="AX14">
        <v>2.2250000000000001</v>
      </c>
      <c r="AY14">
        <v>2.7930000000000001</v>
      </c>
      <c r="AZ14">
        <v>1.1140000000000001</v>
      </c>
    </row>
    <row r="15" spans="1:56">
      <c r="A15" t="s">
        <v>118</v>
      </c>
      <c r="C15" t="s">
        <v>58</v>
      </c>
      <c r="D15" t="s">
        <v>119</v>
      </c>
      <c r="E15" t="s">
        <v>118</v>
      </c>
      <c r="F15" s="1" t="s">
        <v>170</v>
      </c>
      <c r="G15" t="s">
        <v>171</v>
      </c>
      <c r="H15" t="s">
        <v>172</v>
      </c>
      <c r="I15" t="s">
        <v>173</v>
      </c>
      <c r="J15" t="s">
        <v>173</v>
      </c>
      <c r="K15" t="s">
        <v>174</v>
      </c>
      <c r="L15" s="7">
        <v>1.6</v>
      </c>
      <c r="M15" s="8">
        <v>43783</v>
      </c>
      <c r="N15">
        <v>11</v>
      </c>
      <c r="O15" t="s">
        <v>71</v>
      </c>
      <c r="P15">
        <v>2019</v>
      </c>
      <c r="Q15">
        <v>0.1239</v>
      </c>
      <c r="R15" s="10">
        <v>0.1</v>
      </c>
      <c r="S15" s="11">
        <f>ROUND(ТабБіо[[#This Row],[Зелений Тариф ЕЦ]]+ТабБіо[[#This Row],[Зелений Тариф ЕЦ]]*ТабБіо[[#This Row],[% надбавки]],4)</f>
        <v>0.1363</v>
      </c>
      <c r="T15" s="26">
        <v>43809</v>
      </c>
    </row>
    <row r="16" spans="1:56">
      <c r="A16" t="s">
        <v>118</v>
      </c>
      <c r="C16" t="s">
        <v>58</v>
      </c>
      <c r="D16" t="s">
        <v>119</v>
      </c>
      <c r="E16" t="s">
        <v>118</v>
      </c>
      <c r="F16" s="1" t="s">
        <v>175</v>
      </c>
      <c r="G16" t="s">
        <v>127</v>
      </c>
      <c r="H16" t="s">
        <v>176</v>
      </c>
      <c r="J16" t="s">
        <v>177</v>
      </c>
      <c r="K16" t="s">
        <v>178</v>
      </c>
      <c r="L16" s="7">
        <v>5.8979999999999997</v>
      </c>
      <c r="M16" s="8">
        <v>43813</v>
      </c>
      <c r="N16">
        <v>12</v>
      </c>
      <c r="O16" t="s">
        <v>71</v>
      </c>
      <c r="P16">
        <v>2019</v>
      </c>
      <c r="Q16">
        <v>0.1239</v>
      </c>
      <c r="R16" s="10"/>
      <c r="S16" s="11">
        <f>ROUND(ТабБіо[[#This Row],[Зелений Тариф ЕЦ]]+ТабБіо[[#This Row],[Зелений Тариф ЕЦ]]*ТабБіо[[#This Row],[% надбавки]],4)</f>
        <v>0.1239</v>
      </c>
      <c r="T16" s="26"/>
    </row>
    <row r="17" spans="1:52" ht="25.5">
      <c r="A17" t="s">
        <v>118</v>
      </c>
      <c r="C17" t="s">
        <v>58</v>
      </c>
      <c r="D17" t="s">
        <v>119</v>
      </c>
      <c r="E17" t="s">
        <v>118</v>
      </c>
      <c r="F17" s="1" t="s">
        <v>179</v>
      </c>
      <c r="G17" t="s">
        <v>180</v>
      </c>
      <c r="H17" t="s">
        <v>65</v>
      </c>
      <c r="I17" t="s">
        <v>181</v>
      </c>
      <c r="J17" t="s">
        <v>182</v>
      </c>
      <c r="K17" t="s">
        <v>183</v>
      </c>
      <c r="L17" s="7">
        <v>0.05</v>
      </c>
      <c r="M17" s="8">
        <v>43819</v>
      </c>
      <c r="N17">
        <v>12</v>
      </c>
      <c r="O17" t="s">
        <v>71</v>
      </c>
      <c r="P17">
        <v>2019</v>
      </c>
      <c r="Q17">
        <v>0.1239</v>
      </c>
      <c r="R17" s="10"/>
      <c r="S17" s="11">
        <f>ROUND(ТабБіо[[#This Row],[Зелений Тариф ЕЦ]]+ТабБіо[[#This Row],[Зелений Тариф ЕЦ]]*ТабБіо[[#This Row],[% надбавки]],4)</f>
        <v>0.1239</v>
      </c>
      <c r="T17" s="26"/>
    </row>
    <row r="18" spans="1:52">
      <c r="A18" t="s">
        <v>118</v>
      </c>
      <c r="C18" t="s">
        <v>58</v>
      </c>
      <c r="D18" t="s">
        <v>119</v>
      </c>
      <c r="E18" t="s">
        <v>118</v>
      </c>
      <c r="F18" s="1" t="s">
        <v>184</v>
      </c>
      <c r="G18" t="s">
        <v>127</v>
      </c>
      <c r="H18" t="s">
        <v>185</v>
      </c>
      <c r="I18" t="s">
        <v>186</v>
      </c>
      <c r="J18" t="s">
        <v>187</v>
      </c>
      <c r="K18" t="s">
        <v>188</v>
      </c>
      <c r="L18" s="7">
        <v>7</v>
      </c>
      <c r="M18" s="8">
        <v>43844</v>
      </c>
      <c r="N18">
        <v>1</v>
      </c>
      <c r="O18" t="s">
        <v>67</v>
      </c>
      <c r="P18">
        <v>2020</v>
      </c>
      <c r="Q18">
        <v>0.1239</v>
      </c>
      <c r="R18" s="10"/>
      <c r="S18" s="11">
        <f>ROUND(ТабБіо[[#This Row],[Зелений Тариф ЕЦ]]+ТабБіо[[#This Row],[Зелений Тариф ЕЦ]]*ТабБіо[[#This Row],[% надбавки]],4)</f>
        <v>0.1239</v>
      </c>
      <c r="T18" s="26"/>
    </row>
    <row r="19" spans="1:52">
      <c r="A19" t="s">
        <v>118</v>
      </c>
      <c r="C19" t="s">
        <v>58</v>
      </c>
      <c r="D19" t="s">
        <v>119</v>
      </c>
      <c r="E19" t="s">
        <v>118</v>
      </c>
      <c r="F19" s="1" t="s">
        <v>189</v>
      </c>
      <c r="G19" t="s">
        <v>190</v>
      </c>
      <c r="H19" t="s">
        <v>163</v>
      </c>
      <c r="I19" t="s">
        <v>191</v>
      </c>
      <c r="K19" t="s">
        <v>192</v>
      </c>
      <c r="L19" s="7">
        <v>7.5</v>
      </c>
      <c r="M19" s="8">
        <v>43749</v>
      </c>
      <c r="N19">
        <v>10</v>
      </c>
      <c r="O19" t="s">
        <v>71</v>
      </c>
      <c r="P19">
        <v>2019</v>
      </c>
      <c r="Q19">
        <v>0.1239</v>
      </c>
      <c r="R19" s="10"/>
      <c r="S19" s="11">
        <f>ROUND(ТабБіо[[#This Row],[Зелений Тариф ЕЦ]]+ТабБіо[[#This Row],[Зелений Тариф ЕЦ]]*ТабБіо[[#This Row],[% надбавки]],4)</f>
        <v>0.1239</v>
      </c>
      <c r="T19" s="26"/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>
      <c r="A20" t="s">
        <v>118</v>
      </c>
      <c r="D20" t="s">
        <v>119</v>
      </c>
      <c r="E20" t="s">
        <v>118</v>
      </c>
      <c r="F20" t="s">
        <v>193</v>
      </c>
      <c r="H20" t="s">
        <v>69</v>
      </c>
      <c r="K20" t="s">
        <v>194</v>
      </c>
      <c r="L20" s="7">
        <v>2.7</v>
      </c>
      <c r="M20" s="8">
        <v>43943</v>
      </c>
      <c r="N20">
        <v>4</v>
      </c>
      <c r="O20" t="s">
        <v>57</v>
      </c>
      <c r="P20">
        <v>2020</v>
      </c>
      <c r="Q20">
        <v>0.1239</v>
      </c>
      <c r="R20" s="10"/>
      <c r="S20" s="11">
        <f>ROUND(ТабБіо[[#This Row],[Зелений Тариф ЕЦ]]+ТабБіо[[#This Row],[Зелений Тариф ЕЦ]]*ТабБіо[[#This Row],[% надбавки]],4)</f>
        <v>0.1239</v>
      </c>
      <c r="T20" s="26"/>
    </row>
    <row r="21" spans="1:52">
      <c r="A21" t="s">
        <v>195</v>
      </c>
      <c r="C21" t="s">
        <v>58</v>
      </c>
      <c r="D21" t="s">
        <v>119</v>
      </c>
      <c r="E21" t="s">
        <v>195</v>
      </c>
      <c r="F21" s="1" t="s">
        <v>196</v>
      </c>
      <c r="G21" t="s">
        <v>197</v>
      </c>
      <c r="H21" t="s">
        <v>198</v>
      </c>
      <c r="I21" t="s">
        <v>199</v>
      </c>
      <c r="J21" t="s">
        <v>199</v>
      </c>
      <c r="K21" t="s">
        <v>200</v>
      </c>
      <c r="L21" s="7">
        <v>0.63</v>
      </c>
      <c r="M21" s="8">
        <v>42831</v>
      </c>
      <c r="N21">
        <v>4</v>
      </c>
      <c r="O21" t="s">
        <v>57</v>
      </c>
      <c r="P21">
        <v>2017</v>
      </c>
      <c r="Q21">
        <v>0.1239</v>
      </c>
      <c r="R21" s="10"/>
      <c r="S21" s="11">
        <f>ROUND(ТабБіо[[#This Row],[Зелений Тариф ЕЦ]]+ТабБіо[[#This Row],[Зелений Тариф ЕЦ]]*ТабБіо[[#This Row],[% надбавки]],4)</f>
        <v>0.1239</v>
      </c>
      <c r="T21" s="26"/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1E-3</v>
      </c>
      <c r="AC21">
        <v>0</v>
      </c>
      <c r="AD21">
        <v>1E-3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2E-3</v>
      </c>
      <c r="AL21">
        <v>7.0000000000000001E-3</v>
      </c>
      <c r="AM21">
        <v>0</v>
      </c>
      <c r="AN21">
        <v>1E-3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>
      <c r="A22" t="s">
        <v>195</v>
      </c>
      <c r="C22" t="s">
        <v>58</v>
      </c>
      <c r="D22" t="s">
        <v>119</v>
      </c>
      <c r="E22" t="s">
        <v>195</v>
      </c>
      <c r="F22" s="1" t="s">
        <v>201</v>
      </c>
      <c r="H22" t="s">
        <v>82</v>
      </c>
      <c r="I22" t="s">
        <v>202</v>
      </c>
      <c r="J22" t="s">
        <v>203</v>
      </c>
      <c r="K22" t="s">
        <v>204</v>
      </c>
      <c r="L22" s="7">
        <v>0.125</v>
      </c>
      <c r="M22" s="8">
        <v>43144</v>
      </c>
      <c r="N22">
        <v>2</v>
      </c>
      <c r="O22" t="s">
        <v>67</v>
      </c>
      <c r="P22">
        <v>2018</v>
      </c>
      <c r="Q22">
        <v>0.1239</v>
      </c>
      <c r="R22" s="10"/>
      <c r="S22" s="11">
        <f>ROUND(ТабБіо[[#This Row],[Зелений Тариф ЕЦ]]+ТабБіо[[#This Row],[Зелений Тариф ЕЦ]]*ТабБіо[[#This Row],[% надбавки]],4)</f>
        <v>0.1239</v>
      </c>
      <c r="T22" s="26"/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>
      <c r="A23" t="s">
        <v>195</v>
      </c>
      <c r="B23" t="s">
        <v>205</v>
      </c>
      <c r="C23">
        <v>39114300</v>
      </c>
      <c r="D23" t="s">
        <v>119</v>
      </c>
      <c r="E23" t="s">
        <v>195</v>
      </c>
      <c r="F23" s="1" t="s">
        <v>206</v>
      </c>
      <c r="G23" t="s">
        <v>207</v>
      </c>
      <c r="H23" t="s">
        <v>198</v>
      </c>
      <c r="I23" t="s">
        <v>208</v>
      </c>
      <c r="J23" t="s">
        <v>209</v>
      </c>
      <c r="K23" t="s">
        <v>210</v>
      </c>
      <c r="L23" s="7">
        <v>0.999</v>
      </c>
      <c r="M23" s="8">
        <v>42334</v>
      </c>
      <c r="N23">
        <v>11</v>
      </c>
      <c r="O23" t="s">
        <v>71</v>
      </c>
      <c r="P23">
        <v>2015</v>
      </c>
      <c r="Q23">
        <v>0.1239</v>
      </c>
      <c r="R23" s="10"/>
      <c r="S23" s="11">
        <f>ROUND(ТабБіо[[#This Row],[Зелений Тариф ЕЦ]]+ТабБіо[[#This Row],[Зелений Тариф ЕЦ]]*ТабБіо[[#This Row],[% надбавки]],4)</f>
        <v>0.1239</v>
      </c>
      <c r="T23" s="26"/>
      <c r="U23">
        <v>0.43099999999999999</v>
      </c>
      <c r="V23">
        <v>0.36400000000000005</v>
      </c>
      <c r="W23">
        <v>0.41499999999999992</v>
      </c>
      <c r="X23">
        <v>0.28900000000000015</v>
      </c>
      <c r="Y23">
        <v>0.24</v>
      </c>
      <c r="Z23">
        <v>0.23599999999999999</v>
      </c>
      <c r="AA23">
        <v>0.42599999999999971</v>
      </c>
      <c r="AB23">
        <v>0.43800000000000017</v>
      </c>
      <c r="AC23">
        <v>0.40500000000000025</v>
      </c>
      <c r="AD23">
        <v>0.27099999999999991</v>
      </c>
      <c r="AE23">
        <v>0.39299999999999979</v>
      </c>
      <c r="AF23">
        <v>0.43100000000000049</v>
      </c>
      <c r="AG23">
        <v>0.53900000000000003</v>
      </c>
      <c r="AH23">
        <v>0.41699999999999998</v>
      </c>
      <c r="AI23">
        <v>0.48599999999999999</v>
      </c>
      <c r="AJ23">
        <v>0.495</v>
      </c>
      <c r="AK23">
        <v>0.5</v>
      </c>
      <c r="AL23">
        <v>0.42099999999999999</v>
      </c>
      <c r="AM23">
        <v>0.502</v>
      </c>
      <c r="AN23">
        <v>0.51300000000000001</v>
      </c>
      <c r="AO23">
        <v>0.50900000000000001</v>
      </c>
      <c r="AP23">
        <v>0.47099999999999997</v>
      </c>
      <c r="AQ23">
        <v>0.52400000000000002</v>
      </c>
      <c r="AR23">
        <v>0.53700000000000003</v>
      </c>
      <c r="AS23">
        <v>0.54600000000000004</v>
      </c>
      <c r="AT23">
        <v>0.495</v>
      </c>
      <c r="AU23">
        <v>0.53800000000000003</v>
      </c>
      <c r="AV23">
        <v>0.50800000000000001</v>
      </c>
      <c r="AW23">
        <v>0.50800000000000001</v>
      </c>
      <c r="AX23">
        <v>0.48099999999999998</v>
      </c>
      <c r="AY23">
        <v>0.504</v>
      </c>
      <c r="AZ23">
        <v>0.51100000000000001</v>
      </c>
    </row>
    <row r="24" spans="1:52">
      <c r="A24" t="s">
        <v>195</v>
      </c>
      <c r="C24" t="s">
        <v>58</v>
      </c>
      <c r="D24" t="s">
        <v>119</v>
      </c>
      <c r="E24" t="s">
        <v>195</v>
      </c>
      <c r="F24" s="1" t="s">
        <v>211</v>
      </c>
      <c r="G24" t="s">
        <v>207</v>
      </c>
      <c r="H24" t="s">
        <v>172</v>
      </c>
      <c r="I24" t="s">
        <v>212</v>
      </c>
      <c r="J24" t="s">
        <v>212</v>
      </c>
      <c r="K24" t="s">
        <v>213</v>
      </c>
      <c r="L24" s="7">
        <v>0.65900000000000003</v>
      </c>
      <c r="M24" s="8">
        <v>43111</v>
      </c>
      <c r="N24">
        <v>1</v>
      </c>
      <c r="O24" t="s">
        <v>67</v>
      </c>
      <c r="P24">
        <v>2018</v>
      </c>
      <c r="Q24">
        <v>0.1239</v>
      </c>
      <c r="R24" s="10"/>
      <c r="S24" s="11">
        <f>ROUND(ТабБіо[[#This Row],[Зелений Тариф ЕЦ]]+ТабБіо[[#This Row],[Зелений Тариф ЕЦ]]*ТабБіо[[#This Row],[% надбавки]],4)</f>
        <v>0.1239</v>
      </c>
      <c r="T24" s="26"/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2.8000000000000001E-2</v>
      </c>
      <c r="AI24">
        <v>2.4E-2</v>
      </c>
      <c r="AJ24">
        <v>8.7999999999999995E-2</v>
      </c>
      <c r="AK24">
        <v>0.32600000000000001</v>
      </c>
      <c r="AL24">
        <v>0.308</v>
      </c>
      <c r="AM24">
        <v>0.34100000000000003</v>
      </c>
      <c r="AN24">
        <v>0.31900000000000001</v>
      </c>
      <c r="AO24">
        <v>0.34599999999999997</v>
      </c>
      <c r="AP24">
        <v>0.33300000000000002</v>
      </c>
      <c r="AQ24">
        <v>0.29899999999999999</v>
      </c>
      <c r="AR24">
        <v>0.27500000000000002</v>
      </c>
      <c r="AS24">
        <v>0.29399999999999998</v>
      </c>
      <c r="AT24">
        <v>0.27100000000000002</v>
      </c>
      <c r="AU24">
        <v>0.27100000000000002</v>
      </c>
      <c r="AV24">
        <v>0.26700000000000002</v>
      </c>
      <c r="AW24">
        <v>0.28799999999999998</v>
      </c>
      <c r="AX24">
        <v>0.28199999999999997</v>
      </c>
      <c r="AY24">
        <v>0.27700000000000002</v>
      </c>
      <c r="AZ24">
        <v>0.28999999999999998</v>
      </c>
    </row>
    <row r="25" spans="1:52">
      <c r="A25" t="s">
        <v>195</v>
      </c>
      <c r="B25" t="s">
        <v>214</v>
      </c>
      <c r="C25">
        <v>36835907</v>
      </c>
      <c r="D25" t="s">
        <v>119</v>
      </c>
      <c r="E25" t="s">
        <v>195</v>
      </c>
      <c r="F25" s="1" t="s">
        <v>215</v>
      </c>
      <c r="G25" t="s">
        <v>216</v>
      </c>
      <c r="H25" t="s">
        <v>69</v>
      </c>
      <c r="I25" t="s">
        <v>217</v>
      </c>
      <c r="J25" t="s">
        <v>217</v>
      </c>
      <c r="K25" t="s">
        <v>218</v>
      </c>
      <c r="L25" s="7">
        <v>2.1339999999999999</v>
      </c>
      <c r="M25" s="8">
        <v>43508</v>
      </c>
      <c r="N25">
        <v>2</v>
      </c>
      <c r="O25" t="s">
        <v>67</v>
      </c>
      <c r="P25">
        <v>2019</v>
      </c>
      <c r="Q25">
        <v>0.1239</v>
      </c>
      <c r="R25" s="10"/>
      <c r="S25" s="11">
        <f>ROUND(ТабБіо[[#This Row],[Зелений Тариф ЕЦ]]+ТабБіо[[#This Row],[Зелений Тариф ЕЦ]]*ТабБіо[[#This Row],[% надбавки]],4)</f>
        <v>0.1239</v>
      </c>
      <c r="T25" s="26"/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S25">
        <v>0</v>
      </c>
      <c r="AT25">
        <v>0</v>
      </c>
      <c r="AU25">
        <v>0.78200000000000003</v>
      </c>
      <c r="AV25">
        <v>0.91100000000000003</v>
      </c>
      <c r="AW25">
        <v>1.115</v>
      </c>
      <c r="AX25">
        <v>1.2909999999999999</v>
      </c>
      <c r="AY25">
        <v>1.41</v>
      </c>
      <c r="AZ25">
        <v>1.468</v>
      </c>
    </row>
    <row r="26" spans="1:52">
      <c r="A26" t="s">
        <v>195</v>
      </c>
      <c r="C26" t="s">
        <v>58</v>
      </c>
      <c r="D26" t="s">
        <v>119</v>
      </c>
      <c r="E26" t="s">
        <v>195</v>
      </c>
      <c r="F26" s="1" t="s">
        <v>215</v>
      </c>
      <c r="G26" t="s">
        <v>219</v>
      </c>
      <c r="H26" t="s">
        <v>69</v>
      </c>
      <c r="L26" s="7">
        <v>1.0669999999999999</v>
      </c>
      <c r="M26" s="8">
        <v>43795</v>
      </c>
      <c r="N26">
        <v>11</v>
      </c>
      <c r="O26" t="s">
        <v>71</v>
      </c>
      <c r="P26">
        <v>2019</v>
      </c>
      <c r="Q26">
        <v>0.1239</v>
      </c>
      <c r="R26" s="10"/>
      <c r="S26" s="11">
        <f>ROUND(ТабБіо[[#This Row],[Зелений Тариф ЕЦ]]+ТабБіо[[#This Row],[Зелений Тариф ЕЦ]]*ТабБіо[[#This Row],[% надбавки]],4)</f>
        <v>0.1239</v>
      </c>
      <c r="T26" s="26"/>
    </row>
    <row r="27" spans="1:52" ht="25.5">
      <c r="A27" t="s">
        <v>195</v>
      </c>
      <c r="C27" t="s">
        <v>58</v>
      </c>
      <c r="D27" t="s">
        <v>119</v>
      </c>
      <c r="E27" t="s">
        <v>195</v>
      </c>
      <c r="F27" s="1" t="s">
        <v>220</v>
      </c>
      <c r="H27" t="s">
        <v>141</v>
      </c>
      <c r="I27" t="s">
        <v>221</v>
      </c>
      <c r="K27" t="s">
        <v>222</v>
      </c>
      <c r="L27" s="7">
        <v>2.4060000000000001</v>
      </c>
      <c r="M27" s="8">
        <v>43312</v>
      </c>
      <c r="N27">
        <v>7</v>
      </c>
      <c r="O27" t="s">
        <v>60</v>
      </c>
      <c r="P27">
        <v>2018</v>
      </c>
      <c r="Q27">
        <v>0.1239</v>
      </c>
      <c r="R27" s="10"/>
      <c r="S27" s="11">
        <f>ROUND(ТабБіо[[#This Row],[Зелений Тариф ЕЦ]]+ТабБіо[[#This Row],[Зелений Тариф ЕЦ]]*ТабБіо[[#This Row],[% надбавки]],4)</f>
        <v>0.1239</v>
      </c>
      <c r="T27" s="26"/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0.61099999999999999</v>
      </c>
      <c r="AP27">
        <v>0.747</v>
      </c>
      <c r="AQ27">
        <v>0.48499999999999999</v>
      </c>
      <c r="AR27">
        <v>0.46100000000000002</v>
      </c>
      <c r="AS27">
        <v>0.47399999999999998</v>
      </c>
      <c r="AT27">
        <v>0.64100000000000001</v>
      </c>
      <c r="AU27">
        <v>0.95</v>
      </c>
      <c r="AV27">
        <v>1.083</v>
      </c>
      <c r="AW27">
        <v>1.135</v>
      </c>
      <c r="AX27">
        <v>0.6</v>
      </c>
      <c r="AY27">
        <v>0.77100000000000002</v>
      </c>
      <c r="AZ27">
        <v>0.86699999999999999</v>
      </c>
    </row>
    <row r="28" spans="1:52" ht="25.5">
      <c r="A28" t="s">
        <v>195</v>
      </c>
      <c r="C28" t="s">
        <v>58</v>
      </c>
      <c r="D28" t="s">
        <v>119</v>
      </c>
      <c r="E28" t="s">
        <v>195</v>
      </c>
      <c r="F28" s="1" t="s">
        <v>220</v>
      </c>
      <c r="H28" t="s">
        <v>141</v>
      </c>
      <c r="I28" t="s">
        <v>223</v>
      </c>
      <c r="K28" t="s">
        <v>224</v>
      </c>
      <c r="L28" s="7">
        <v>1.2030000000000001</v>
      </c>
      <c r="M28" s="8">
        <v>43511</v>
      </c>
      <c r="N28">
        <v>2</v>
      </c>
      <c r="O28" t="s">
        <v>67</v>
      </c>
      <c r="P28">
        <v>2019</v>
      </c>
      <c r="Q28">
        <v>0.1239</v>
      </c>
      <c r="R28" s="10"/>
      <c r="S28" s="11">
        <f>ROUND(ТабБіо[[#This Row],[Зелений Тариф ЕЦ]]+ТабБіо[[#This Row],[Зелений Тариф ЕЦ]]*ТабБіо[[#This Row],[% надбавки]],4)</f>
        <v>0.1239</v>
      </c>
      <c r="T28" s="26"/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S28">
        <v>0</v>
      </c>
      <c r="AT28">
        <v>0.51</v>
      </c>
      <c r="AU28">
        <v>0.59799999999999998</v>
      </c>
      <c r="AV28">
        <v>0.623</v>
      </c>
      <c r="AW28">
        <v>0.63500000000000001</v>
      </c>
      <c r="AX28">
        <v>0.51500000000000001</v>
      </c>
      <c r="AY28">
        <v>0.46600000000000003</v>
      </c>
      <c r="AZ28">
        <v>0.48399999999999999</v>
      </c>
    </row>
    <row r="29" spans="1:52" ht="25.5">
      <c r="A29" t="s">
        <v>195</v>
      </c>
      <c r="C29" t="s">
        <v>58</v>
      </c>
      <c r="D29" t="s">
        <v>119</v>
      </c>
      <c r="E29" t="s">
        <v>195</v>
      </c>
      <c r="F29" s="1" t="s">
        <v>220</v>
      </c>
      <c r="H29" t="s">
        <v>107</v>
      </c>
      <c r="I29" t="s">
        <v>225</v>
      </c>
      <c r="K29" t="s">
        <v>226</v>
      </c>
      <c r="L29" s="7">
        <v>2.4060000000000001</v>
      </c>
      <c r="M29" s="8">
        <v>43641</v>
      </c>
      <c r="N29">
        <v>6</v>
      </c>
      <c r="O29" t="s">
        <v>57</v>
      </c>
      <c r="P29">
        <v>2019</v>
      </c>
      <c r="Q29">
        <v>0.1239</v>
      </c>
      <c r="R29" s="10"/>
      <c r="S29" s="11">
        <f>ROUND(ТабБіо[[#This Row],[Зелений Тариф ЕЦ]]+ТабБіо[[#This Row],[Зелений Тариф ЕЦ]]*ТабБіо[[#This Row],[% надбавки]],4)</f>
        <v>0.1239</v>
      </c>
      <c r="T29" s="26"/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>
      <c r="A30" t="s">
        <v>195</v>
      </c>
      <c r="B30" t="s">
        <v>227</v>
      </c>
      <c r="C30">
        <v>32464900</v>
      </c>
      <c r="D30" t="s">
        <v>119</v>
      </c>
      <c r="E30" t="s">
        <v>195</v>
      </c>
      <c r="F30" s="1" t="s">
        <v>228</v>
      </c>
      <c r="H30" t="s">
        <v>65</v>
      </c>
      <c r="I30" t="s">
        <v>229</v>
      </c>
      <c r="J30" t="s">
        <v>230</v>
      </c>
      <c r="K30" t="s">
        <v>231</v>
      </c>
      <c r="L30" s="7">
        <v>1.1659999999999999</v>
      </c>
      <c r="M30" s="8">
        <v>41858</v>
      </c>
      <c r="N30">
        <v>8</v>
      </c>
      <c r="O30" t="s">
        <v>60</v>
      </c>
      <c r="P30">
        <v>2014</v>
      </c>
      <c r="Q30">
        <v>0.1239</v>
      </c>
      <c r="R30" s="10"/>
      <c r="S30" s="11">
        <f>ROUND(ТабБіо[[#This Row],[Зелений Тариф ЕЦ]]+ТабБіо[[#This Row],[Зелений Тариф ЕЦ]]*ТабБіо[[#This Row],[% надбавки]],4)</f>
        <v>0.1239</v>
      </c>
      <c r="T30" s="26"/>
      <c r="U30">
        <v>0.70899999999999996</v>
      </c>
      <c r="V30">
        <v>0.63700000000000012</v>
      </c>
      <c r="W30">
        <v>0.60099999999999998</v>
      </c>
      <c r="X30">
        <v>0.69300000000000006</v>
      </c>
      <c r="Y30">
        <v>0.65300000000000002</v>
      </c>
      <c r="Z30">
        <v>0.54099999999999993</v>
      </c>
      <c r="AA30">
        <v>0.40900000000000025</v>
      </c>
      <c r="AB30">
        <v>0.36699999999999999</v>
      </c>
      <c r="AC30">
        <v>0.46999999999999975</v>
      </c>
      <c r="AD30">
        <v>0.58399999999999963</v>
      </c>
      <c r="AE30">
        <v>0.45999999999999996</v>
      </c>
      <c r="AF30">
        <v>0.35400000000000009</v>
      </c>
      <c r="AG30">
        <v>0.59899999999999998</v>
      </c>
      <c r="AH30">
        <v>0.65200000000000002</v>
      </c>
      <c r="AI30">
        <v>0.69499999999999995</v>
      </c>
      <c r="AJ30">
        <v>0.59799999999999998</v>
      </c>
      <c r="AK30">
        <v>0.53</v>
      </c>
      <c r="AL30">
        <v>0.34799999999999998</v>
      </c>
      <c r="AM30">
        <v>0.56399999999999995</v>
      </c>
      <c r="AN30">
        <v>0.23</v>
      </c>
      <c r="AO30">
        <v>0.504</v>
      </c>
      <c r="AP30">
        <v>0.66</v>
      </c>
      <c r="AQ30">
        <v>0.60499999999999998</v>
      </c>
      <c r="AR30">
        <v>0.65700000000000003</v>
      </c>
      <c r="AS30">
        <v>0.49199999999999999</v>
      </c>
      <c r="AT30">
        <v>0.313</v>
      </c>
      <c r="AU30">
        <v>0.16600000000000001</v>
      </c>
      <c r="AV30">
        <v>0.41299999999999998</v>
      </c>
      <c r="AW30">
        <v>0.13300000000000001</v>
      </c>
      <c r="AX30">
        <v>0</v>
      </c>
      <c r="AY30">
        <v>0.52900000000000003</v>
      </c>
      <c r="AZ30">
        <v>0.51</v>
      </c>
    </row>
    <row r="31" spans="1:52">
      <c r="A31" t="s">
        <v>195</v>
      </c>
      <c r="C31" t="s">
        <v>58</v>
      </c>
      <c r="D31" t="s">
        <v>119</v>
      </c>
      <c r="E31" t="s">
        <v>195</v>
      </c>
      <c r="F31" s="1" t="s">
        <v>232</v>
      </c>
      <c r="H31" t="s">
        <v>233</v>
      </c>
      <c r="I31" t="s">
        <v>234</v>
      </c>
      <c r="J31" t="s">
        <v>235</v>
      </c>
      <c r="K31" t="s">
        <v>236</v>
      </c>
      <c r="L31" s="7">
        <v>1.0640000000000001</v>
      </c>
      <c r="M31" s="8">
        <v>43637</v>
      </c>
      <c r="N31">
        <v>6</v>
      </c>
      <c r="O31" t="s">
        <v>57</v>
      </c>
      <c r="P31">
        <v>2019</v>
      </c>
      <c r="Q31">
        <v>0.1239</v>
      </c>
      <c r="R31" s="10"/>
      <c r="S31" s="11">
        <f>ROUND(ТабБіо[[#This Row],[Зелений Тариф ЕЦ]]+ТабБіо[[#This Row],[Зелений Тариф ЕЦ]]*ТабБіо[[#This Row],[% надбавки]],4)</f>
        <v>0.1239</v>
      </c>
      <c r="T31" s="26"/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0.17599999999999999</v>
      </c>
      <c r="AZ31">
        <v>0.29599999999999999</v>
      </c>
    </row>
    <row r="32" spans="1:52">
      <c r="A32" t="s">
        <v>195</v>
      </c>
      <c r="B32" t="s">
        <v>237</v>
      </c>
      <c r="C32">
        <v>23981928</v>
      </c>
      <c r="D32" t="s">
        <v>119</v>
      </c>
      <c r="E32" t="s">
        <v>195</v>
      </c>
      <c r="F32" s="1" t="s">
        <v>238</v>
      </c>
      <c r="G32" t="s">
        <v>239</v>
      </c>
      <c r="H32" t="s">
        <v>56</v>
      </c>
      <c r="I32" t="s">
        <v>240</v>
      </c>
      <c r="J32" t="s">
        <v>241</v>
      </c>
      <c r="K32" t="s">
        <v>242</v>
      </c>
      <c r="L32" s="7">
        <v>1.4870000000000001</v>
      </c>
      <c r="M32" s="8">
        <v>43111</v>
      </c>
      <c r="N32">
        <v>1</v>
      </c>
      <c r="O32" t="s">
        <v>67</v>
      </c>
      <c r="P32">
        <v>2018</v>
      </c>
      <c r="Q32">
        <v>0.1239</v>
      </c>
      <c r="R32" s="10"/>
      <c r="S32" s="11">
        <f>ROUND(ТабБіо[[#This Row],[Зелений Тариф ЕЦ]]+ТабБіо[[#This Row],[Зелений Тариф ЕЦ]]*ТабБіо[[#This Row],[% надбавки]],4)</f>
        <v>0.1239</v>
      </c>
      <c r="T32" s="26"/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0.621</v>
      </c>
      <c r="AH32">
        <v>0.58499999999999996</v>
      </c>
      <c r="AI32">
        <v>0.59499999999999997</v>
      </c>
      <c r="AJ32">
        <v>0.46400000000000002</v>
      </c>
      <c r="AK32">
        <v>0.623</v>
      </c>
      <c r="AL32">
        <v>0.49399999999999999</v>
      </c>
      <c r="AM32">
        <v>0.54800000000000004</v>
      </c>
      <c r="AN32">
        <v>0.53200000000000003</v>
      </c>
      <c r="AO32">
        <v>0.55900000000000005</v>
      </c>
      <c r="AP32">
        <v>0.69</v>
      </c>
      <c r="AQ32">
        <v>0.53</v>
      </c>
      <c r="AR32">
        <v>0.46200000000000002</v>
      </c>
      <c r="AS32">
        <v>0.40500000000000003</v>
      </c>
      <c r="AT32">
        <v>0.42199999999999999</v>
      </c>
      <c r="AU32">
        <v>0.50600000000000001</v>
      </c>
      <c r="AV32">
        <v>0.47099999999999997</v>
      </c>
      <c r="AW32">
        <v>0.41799999999999998</v>
      </c>
      <c r="AX32">
        <v>0.44800000000000001</v>
      </c>
      <c r="AY32">
        <v>0.32300000000000001</v>
      </c>
      <c r="AZ32">
        <v>0.3</v>
      </c>
    </row>
    <row r="33" spans="1:52">
      <c r="A33" t="s">
        <v>195</v>
      </c>
      <c r="B33" t="s">
        <v>243</v>
      </c>
      <c r="C33">
        <v>39816138</v>
      </c>
      <c r="D33" t="s">
        <v>119</v>
      </c>
      <c r="E33" t="s">
        <v>195</v>
      </c>
      <c r="F33" s="1" t="s">
        <v>244</v>
      </c>
      <c r="H33" t="s">
        <v>107</v>
      </c>
      <c r="I33" t="s">
        <v>245</v>
      </c>
      <c r="K33" t="s">
        <v>246</v>
      </c>
      <c r="L33" s="7">
        <v>0.33</v>
      </c>
      <c r="M33" s="8">
        <v>43277</v>
      </c>
      <c r="N33">
        <v>6</v>
      </c>
      <c r="O33" t="s">
        <v>57</v>
      </c>
      <c r="P33">
        <v>2018</v>
      </c>
      <c r="Q33">
        <v>0.1239</v>
      </c>
      <c r="R33" s="10"/>
      <c r="S33" s="11">
        <f>ROUND(ТабБіо[[#This Row],[Зелений Тариф ЕЦ]]+ТабБіо[[#This Row],[Зелений Тариф ЕЦ]]*ТабБіо[[#This Row],[% надбавки]],4)</f>
        <v>0.1239</v>
      </c>
      <c r="T33" s="26"/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3.6999999999999998E-2</v>
      </c>
      <c r="AT33">
        <v>4.1000000000000002E-2</v>
      </c>
      <c r="AU33">
        <v>5.5E-2</v>
      </c>
      <c r="AV33">
        <v>3.5999999999999997E-2</v>
      </c>
      <c r="AW33">
        <v>2.4E-2</v>
      </c>
      <c r="AX33">
        <v>2.1999999999999999E-2</v>
      </c>
      <c r="AY33">
        <v>1.2E-2</v>
      </c>
      <c r="AZ33">
        <v>5.0000000000000001E-3</v>
      </c>
    </row>
    <row r="34" spans="1:52">
      <c r="A34" t="s">
        <v>195</v>
      </c>
      <c r="C34" t="s">
        <v>58</v>
      </c>
      <c r="D34" t="s">
        <v>119</v>
      </c>
      <c r="E34" t="s">
        <v>195</v>
      </c>
      <c r="F34" s="1" t="s">
        <v>139</v>
      </c>
      <c r="G34" t="s">
        <v>207</v>
      </c>
      <c r="H34" t="s">
        <v>65</v>
      </c>
      <c r="I34" t="s">
        <v>247</v>
      </c>
      <c r="K34" t="s">
        <v>248</v>
      </c>
      <c r="L34" s="7">
        <v>0.66</v>
      </c>
      <c r="M34" s="8">
        <v>42853</v>
      </c>
      <c r="N34">
        <v>4</v>
      </c>
      <c r="O34" t="s">
        <v>57</v>
      </c>
      <c r="P34">
        <v>2017</v>
      </c>
      <c r="Q34">
        <v>0.1239</v>
      </c>
      <c r="R34" s="10"/>
      <c r="S34" s="11">
        <f>ROUND(ТабБіо[[#This Row],[Зелений Тариф ЕЦ]]+ТабБіо[[#This Row],[Зелений Тариф ЕЦ]]*ТабБіо[[#This Row],[% надбавки]],4)</f>
        <v>0.1239</v>
      </c>
      <c r="T34" s="26"/>
      <c r="U34">
        <v>0</v>
      </c>
      <c r="V34">
        <v>0</v>
      </c>
      <c r="W34">
        <v>0</v>
      </c>
      <c r="X34">
        <v>0</v>
      </c>
      <c r="Y34">
        <v>0.152</v>
      </c>
      <c r="Z34">
        <v>0.22600000000000001</v>
      </c>
      <c r="AA34">
        <v>0.28800000000000003</v>
      </c>
      <c r="AB34">
        <v>0.97299999999999998</v>
      </c>
      <c r="AC34">
        <v>1.401</v>
      </c>
      <c r="AD34">
        <v>1.4279999999999999</v>
      </c>
      <c r="AE34">
        <v>1.5460000000000003</v>
      </c>
      <c r="AF34">
        <v>1.5640000000000001</v>
      </c>
      <c r="AG34">
        <v>1.5289999999999999</v>
      </c>
      <c r="AH34">
        <v>1.3440000000000001</v>
      </c>
      <c r="AI34">
        <v>1.552</v>
      </c>
      <c r="AJ34">
        <v>1.5409999999999999</v>
      </c>
      <c r="AK34">
        <v>1.605</v>
      </c>
      <c r="AL34">
        <v>1.569</v>
      </c>
      <c r="AM34">
        <v>1.895</v>
      </c>
      <c r="AN34">
        <v>2.0529999999999999</v>
      </c>
      <c r="AO34">
        <v>1.964</v>
      </c>
      <c r="AP34">
        <v>1.9390000000000001</v>
      </c>
      <c r="AQ34">
        <v>1.651</v>
      </c>
      <c r="AR34">
        <v>1.754</v>
      </c>
      <c r="AS34">
        <v>2.0019999999999998</v>
      </c>
      <c r="AT34">
        <v>1.8140000000000001</v>
      </c>
      <c r="AU34">
        <v>2.0510000000000002</v>
      </c>
      <c r="AV34">
        <v>1.9970000000000001</v>
      </c>
      <c r="AW34">
        <v>2.1320000000000001</v>
      </c>
      <c r="AX34">
        <v>2.226</v>
      </c>
      <c r="AY34">
        <v>2.2949999999999999</v>
      </c>
      <c r="AZ34">
        <v>2.302</v>
      </c>
    </row>
    <row r="35" spans="1:52">
      <c r="A35" t="s">
        <v>195</v>
      </c>
      <c r="C35" t="s">
        <v>58</v>
      </c>
      <c r="D35" t="s">
        <v>119</v>
      </c>
      <c r="E35" t="s">
        <v>195</v>
      </c>
      <c r="F35" s="1" t="s">
        <v>139</v>
      </c>
      <c r="G35" t="s">
        <v>216</v>
      </c>
      <c r="H35" t="s">
        <v>185</v>
      </c>
      <c r="I35" t="s">
        <v>249</v>
      </c>
      <c r="J35" t="s">
        <v>250</v>
      </c>
      <c r="K35" t="s">
        <v>251</v>
      </c>
      <c r="L35" s="7">
        <v>1.0629999999999999</v>
      </c>
      <c r="M35" s="8">
        <v>42922</v>
      </c>
      <c r="N35">
        <v>7</v>
      </c>
      <c r="O35" t="s">
        <v>60</v>
      </c>
      <c r="P35">
        <v>2017</v>
      </c>
      <c r="Q35">
        <v>0.1239</v>
      </c>
      <c r="R35" s="10"/>
      <c r="S35" s="11">
        <f>ROUND(ТабБіо[[#This Row],[Зелений Тариф ЕЦ]]+ТабБіо[[#This Row],[Зелений Тариф ЕЦ]]*ТабБіо[[#This Row],[% надбавки]],4)</f>
        <v>0.1239</v>
      </c>
      <c r="T35" s="26"/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>
      <c r="A36" t="s">
        <v>195</v>
      </c>
      <c r="C36" t="s">
        <v>58</v>
      </c>
      <c r="D36" t="s">
        <v>119</v>
      </c>
      <c r="E36" t="s">
        <v>195</v>
      </c>
      <c r="F36" s="1" t="s">
        <v>139</v>
      </c>
      <c r="G36" t="s">
        <v>252</v>
      </c>
      <c r="H36" t="s">
        <v>185</v>
      </c>
      <c r="I36" t="s">
        <v>253</v>
      </c>
      <c r="J36" t="s">
        <v>250</v>
      </c>
      <c r="K36" t="s">
        <v>254</v>
      </c>
      <c r="L36" s="7">
        <v>0.84499999999999997</v>
      </c>
      <c r="M36" s="8">
        <v>43020</v>
      </c>
      <c r="N36">
        <v>10</v>
      </c>
      <c r="O36" t="s">
        <v>71</v>
      </c>
      <c r="P36">
        <v>2017</v>
      </c>
      <c r="Q36">
        <v>0.1239</v>
      </c>
      <c r="R36" s="10"/>
      <c r="S36" s="11">
        <f>ROUND(ТабБіо[[#This Row],[Зелений Тариф ЕЦ]]+ТабБіо[[#This Row],[Зелений Тариф ЕЦ]]*ТабБіо[[#This Row],[% надбавки]],4)</f>
        <v>0.1239</v>
      </c>
      <c r="T36" s="26"/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>
      <c r="A37" t="s">
        <v>195</v>
      </c>
      <c r="C37" t="s">
        <v>58</v>
      </c>
      <c r="D37" t="s">
        <v>119</v>
      </c>
      <c r="E37" t="s">
        <v>195</v>
      </c>
      <c r="F37" s="1" t="s">
        <v>139</v>
      </c>
      <c r="G37" t="s">
        <v>207</v>
      </c>
      <c r="H37" t="s">
        <v>255</v>
      </c>
      <c r="I37" t="s">
        <v>256</v>
      </c>
      <c r="J37" t="s">
        <v>257</v>
      </c>
      <c r="K37" t="s">
        <v>258</v>
      </c>
      <c r="L37" s="7">
        <v>0.33</v>
      </c>
      <c r="M37" s="8">
        <v>43111</v>
      </c>
      <c r="N37">
        <v>1</v>
      </c>
      <c r="O37" t="s">
        <v>67</v>
      </c>
      <c r="P37">
        <v>2018</v>
      </c>
      <c r="Q37">
        <v>0.1239</v>
      </c>
      <c r="R37" s="10"/>
      <c r="S37" s="11">
        <f>ROUND(ТабБіо[[#This Row],[Зелений Тариф ЕЦ]]+ТабБіо[[#This Row],[Зелений Тариф ЕЦ]]*ТабБіо[[#This Row],[% надбавки]],4)</f>
        <v>0.1239</v>
      </c>
      <c r="T37" s="26"/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>
      <c r="A38" t="s">
        <v>195</v>
      </c>
      <c r="C38" t="s">
        <v>58</v>
      </c>
      <c r="D38" t="s">
        <v>119</v>
      </c>
      <c r="E38" t="s">
        <v>195</v>
      </c>
      <c r="F38" s="1" t="s">
        <v>139</v>
      </c>
      <c r="G38" t="s">
        <v>207</v>
      </c>
      <c r="H38" t="s">
        <v>107</v>
      </c>
      <c r="I38" t="s">
        <v>259</v>
      </c>
      <c r="J38" t="s">
        <v>259</v>
      </c>
      <c r="K38" t="s">
        <v>260</v>
      </c>
      <c r="L38" s="7">
        <v>0.84499999999999997</v>
      </c>
      <c r="M38" s="8">
        <v>43567</v>
      </c>
      <c r="N38">
        <v>4</v>
      </c>
      <c r="O38" t="s">
        <v>57</v>
      </c>
      <c r="P38">
        <v>2019</v>
      </c>
      <c r="Q38">
        <v>0.1239</v>
      </c>
      <c r="R38" s="10"/>
      <c r="S38" s="11">
        <f>ROUND(ТабБіо[[#This Row],[Зелений Тариф ЕЦ]]+ТабБіо[[#This Row],[Зелений Тариф ЕЦ]]*ТабБіо[[#This Row],[% надбавки]],4)</f>
        <v>0.1239</v>
      </c>
      <c r="T38" s="26"/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>
      <c r="A39" t="s">
        <v>195</v>
      </c>
      <c r="B39" t="s">
        <v>261</v>
      </c>
      <c r="C39">
        <v>41611910</v>
      </c>
      <c r="D39" t="s">
        <v>119</v>
      </c>
      <c r="E39" t="s">
        <v>195</v>
      </c>
      <c r="F39" s="1" t="s">
        <v>262</v>
      </c>
      <c r="G39" t="s">
        <v>207</v>
      </c>
      <c r="H39" t="s">
        <v>263</v>
      </c>
      <c r="I39" t="s">
        <v>264</v>
      </c>
      <c r="J39" t="s">
        <v>265</v>
      </c>
      <c r="K39" t="s">
        <v>266</v>
      </c>
      <c r="L39" s="7">
        <v>0.84499999999999997</v>
      </c>
      <c r="M39" s="8">
        <v>43111</v>
      </c>
      <c r="N39">
        <v>1</v>
      </c>
      <c r="O39" t="s">
        <v>67</v>
      </c>
      <c r="P39">
        <v>2018</v>
      </c>
      <c r="Q39">
        <v>0.1239</v>
      </c>
      <c r="R39" s="10"/>
      <c r="S39" s="11">
        <f>ROUND(ТабБіо[[#This Row],[Зелений Тариф ЕЦ]]+ТабБіо[[#This Row],[Зелений Тариф ЕЦ]]*ТабБіо[[#This Row],[% надбавки]],4)</f>
        <v>0.1239</v>
      </c>
      <c r="T39" s="26"/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0.29499999999999998</v>
      </c>
      <c r="AI39">
        <v>0.33100000000000002</v>
      </c>
      <c r="AJ39">
        <v>0.35199999999999998</v>
      </c>
      <c r="AK39">
        <v>0.36499999999999999</v>
      </c>
      <c r="AL39">
        <v>0.34399999999999997</v>
      </c>
      <c r="AM39">
        <v>0.34899999999999998</v>
      </c>
      <c r="AN39">
        <v>0.34300000000000003</v>
      </c>
      <c r="AO39">
        <v>0.32</v>
      </c>
      <c r="AP39">
        <v>0.32600000000000001</v>
      </c>
      <c r="AQ39">
        <v>0.32300000000000001</v>
      </c>
      <c r="AR39">
        <v>0.33</v>
      </c>
      <c r="AS39">
        <v>0.69099999999999995</v>
      </c>
      <c r="AT39">
        <v>0.60299999999999998</v>
      </c>
      <c r="AU39">
        <v>0.66600000000000004</v>
      </c>
      <c r="AV39">
        <v>0.67900000000000005</v>
      </c>
      <c r="AW39">
        <v>0.70799999999999996</v>
      </c>
      <c r="AX39">
        <v>0.69</v>
      </c>
      <c r="AY39">
        <v>0.74199999999999999</v>
      </c>
      <c r="AZ39">
        <v>0.73699999999999999</v>
      </c>
    </row>
    <row r="40" spans="1:52">
      <c r="A40" t="s">
        <v>195</v>
      </c>
      <c r="B40" t="s">
        <v>267</v>
      </c>
      <c r="C40">
        <v>41611910</v>
      </c>
      <c r="D40" t="s">
        <v>119</v>
      </c>
      <c r="E40" t="s">
        <v>195</v>
      </c>
      <c r="F40" s="1" t="s">
        <v>262</v>
      </c>
      <c r="G40" t="s">
        <v>207</v>
      </c>
      <c r="H40" t="s">
        <v>263</v>
      </c>
      <c r="I40" t="s">
        <v>268</v>
      </c>
      <c r="J40" t="s">
        <v>269</v>
      </c>
      <c r="K40" t="s">
        <v>270</v>
      </c>
      <c r="L40" s="7">
        <v>1.0029999999999999</v>
      </c>
      <c r="M40" s="8">
        <v>43455</v>
      </c>
      <c r="N40">
        <v>12</v>
      </c>
      <c r="O40" t="s">
        <v>71</v>
      </c>
      <c r="P40">
        <v>2018</v>
      </c>
      <c r="Q40">
        <v>0.1239</v>
      </c>
      <c r="R40" s="10"/>
      <c r="S40" s="11">
        <f>ROUND(ТабБіо[[#This Row],[Зелений Тариф ЕЦ]]+ТабБіо[[#This Row],[Зелений Тариф ЕЦ]]*ТабБіо[[#This Row],[% надбавки]],4)</f>
        <v>0.1239</v>
      </c>
      <c r="T40" s="26"/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>
      <c r="A41" t="s">
        <v>195</v>
      </c>
      <c r="C41" t="s">
        <v>58</v>
      </c>
      <c r="D41" t="s">
        <v>119</v>
      </c>
      <c r="E41" t="s">
        <v>195</v>
      </c>
      <c r="F41" s="1" t="s">
        <v>271</v>
      </c>
      <c r="G41" t="s">
        <v>207</v>
      </c>
      <c r="H41" t="s">
        <v>73</v>
      </c>
      <c r="I41" t="s">
        <v>272</v>
      </c>
      <c r="J41" t="s">
        <v>272</v>
      </c>
      <c r="K41" t="s">
        <v>273</v>
      </c>
      <c r="L41" s="7">
        <v>0.625</v>
      </c>
      <c r="M41" s="8">
        <v>43543</v>
      </c>
      <c r="N41">
        <v>3</v>
      </c>
      <c r="O41" t="s">
        <v>67</v>
      </c>
      <c r="P41">
        <v>2019</v>
      </c>
      <c r="Q41">
        <v>0.1239</v>
      </c>
      <c r="R41" s="10"/>
      <c r="S41" s="11">
        <f>ROUND(ТабБіо[[#This Row],[Зелений Тариф ЕЦ]]+ТабБіо[[#This Row],[Зелений Тариф ЕЦ]]*ТабБіо[[#This Row],[% надбавки]],4)</f>
        <v>0.1239</v>
      </c>
      <c r="T41" s="26"/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0.27</v>
      </c>
      <c r="AY41">
        <v>0.36599999999999999</v>
      </c>
      <c r="AZ41">
        <v>0.41799999999999998</v>
      </c>
    </row>
    <row r="42" spans="1:52">
      <c r="A42" t="s">
        <v>195</v>
      </c>
      <c r="C42" t="s">
        <v>58</v>
      </c>
      <c r="D42" t="s">
        <v>119</v>
      </c>
      <c r="E42" t="s">
        <v>195</v>
      </c>
      <c r="F42" s="1" t="s">
        <v>271</v>
      </c>
      <c r="G42" t="s">
        <v>207</v>
      </c>
      <c r="H42" t="s">
        <v>122</v>
      </c>
      <c r="I42" t="s">
        <v>274</v>
      </c>
      <c r="J42" t="s">
        <v>274</v>
      </c>
      <c r="K42" t="s">
        <v>275</v>
      </c>
      <c r="L42" s="7">
        <v>1.1539999999999999</v>
      </c>
      <c r="M42" s="8">
        <v>43602</v>
      </c>
      <c r="N42">
        <v>5</v>
      </c>
      <c r="O42" t="s">
        <v>57</v>
      </c>
      <c r="P42">
        <v>2019</v>
      </c>
      <c r="Q42">
        <v>0.1239</v>
      </c>
      <c r="R42" s="10"/>
      <c r="S42" s="11">
        <f>ROUND(ТабБіо[[#This Row],[Зелений Тариф ЕЦ]]+ТабБіо[[#This Row],[Зелений Тариф ЕЦ]]*ТабБіо[[#This Row],[% надбавки]],4)</f>
        <v>0.1239</v>
      </c>
      <c r="T42" s="26"/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>
      <c r="A43" t="s">
        <v>195</v>
      </c>
      <c r="C43" t="s">
        <v>58</v>
      </c>
      <c r="D43" t="s">
        <v>119</v>
      </c>
      <c r="E43" t="s">
        <v>195</v>
      </c>
      <c r="F43" s="1" t="s">
        <v>271</v>
      </c>
      <c r="G43" t="s">
        <v>207</v>
      </c>
      <c r="H43" t="s">
        <v>122</v>
      </c>
      <c r="I43" t="s">
        <v>274</v>
      </c>
      <c r="J43" t="s">
        <v>274</v>
      </c>
      <c r="K43" t="s">
        <v>276</v>
      </c>
      <c r="L43" s="7">
        <v>1.0629999999999999</v>
      </c>
      <c r="M43" s="8">
        <v>43602</v>
      </c>
      <c r="N43">
        <v>5</v>
      </c>
      <c r="O43" t="s">
        <v>57</v>
      </c>
      <c r="P43">
        <v>2019</v>
      </c>
      <c r="Q43">
        <v>0.1239</v>
      </c>
      <c r="R43" s="10"/>
      <c r="S43" s="11">
        <f>ROUND(ТабБіо[[#This Row],[Зелений Тариф ЕЦ]]+ТабБіо[[#This Row],[Зелений Тариф ЕЦ]]*ТабБіо[[#This Row],[% надбавки]],4)</f>
        <v>0.1239</v>
      </c>
      <c r="T43" s="26"/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>
      <c r="A44" t="s">
        <v>195</v>
      </c>
      <c r="B44" t="s">
        <v>277</v>
      </c>
      <c r="C44">
        <v>41597802</v>
      </c>
      <c r="D44" t="s">
        <v>119</v>
      </c>
      <c r="E44" t="s">
        <v>195</v>
      </c>
      <c r="F44" s="1" t="s">
        <v>278</v>
      </c>
      <c r="G44" t="s">
        <v>207</v>
      </c>
      <c r="H44" t="s">
        <v>141</v>
      </c>
      <c r="I44" t="s">
        <v>279</v>
      </c>
      <c r="K44" t="s">
        <v>280</v>
      </c>
      <c r="L44" s="7">
        <v>1.131</v>
      </c>
      <c r="M44" s="8">
        <v>43111</v>
      </c>
      <c r="N44">
        <v>1</v>
      </c>
      <c r="O44" t="s">
        <v>67</v>
      </c>
      <c r="P44">
        <v>2018</v>
      </c>
      <c r="Q44">
        <v>0.1239</v>
      </c>
      <c r="R44" s="10"/>
      <c r="S44" s="11">
        <f>ROUND(ТабБіо[[#This Row],[Зелений Тариф ЕЦ]]+ТабБіо[[#This Row],[Зелений Тариф ЕЦ]]*ТабБіо[[#This Row],[% надбавки]],4)</f>
        <v>0.1239</v>
      </c>
      <c r="T44" s="26"/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9.9000000000000005E-2</v>
      </c>
      <c r="AH44">
        <v>0.23100000000000001</v>
      </c>
      <c r="AI44">
        <v>0.20300000000000001</v>
      </c>
      <c r="AJ44">
        <v>0.252</v>
      </c>
      <c r="AK44">
        <v>0.30099999999999999</v>
      </c>
      <c r="AL44">
        <v>0.36299999999999999</v>
      </c>
      <c r="AM44">
        <v>0.438</v>
      </c>
      <c r="AN44">
        <v>0.56599999999999995</v>
      </c>
      <c r="AO44">
        <v>0.53800000000000003</v>
      </c>
      <c r="AP44">
        <v>0.55400000000000005</v>
      </c>
      <c r="AQ44">
        <v>0.52700000000000002</v>
      </c>
      <c r="AR44">
        <v>0.53800000000000003</v>
      </c>
      <c r="AS44">
        <v>0.51</v>
      </c>
      <c r="AT44">
        <v>0.45200000000000001</v>
      </c>
      <c r="AU44">
        <v>0.45600000000000002</v>
      </c>
      <c r="AV44">
        <v>0.443</v>
      </c>
      <c r="AW44">
        <v>0.42899999999999999</v>
      </c>
      <c r="AX44">
        <v>0.41</v>
      </c>
      <c r="AY44">
        <v>0.47399999999999998</v>
      </c>
      <c r="AZ44">
        <v>0.437</v>
      </c>
    </row>
    <row r="45" spans="1:52">
      <c r="A45" t="s">
        <v>195</v>
      </c>
      <c r="B45" t="s">
        <v>281</v>
      </c>
      <c r="C45">
        <v>40049628</v>
      </c>
      <c r="D45" t="s">
        <v>119</v>
      </c>
      <c r="E45" t="s">
        <v>195</v>
      </c>
      <c r="F45" s="1" t="s">
        <v>282</v>
      </c>
      <c r="G45" t="s">
        <v>283</v>
      </c>
      <c r="H45" t="s">
        <v>73</v>
      </c>
      <c r="I45" t="s">
        <v>284</v>
      </c>
      <c r="K45" t="s">
        <v>285</v>
      </c>
      <c r="L45" s="7">
        <v>3.12</v>
      </c>
      <c r="M45" s="8">
        <v>42681</v>
      </c>
      <c r="N45">
        <v>11</v>
      </c>
      <c r="O45" t="s">
        <v>71</v>
      </c>
      <c r="P45">
        <v>2016</v>
      </c>
      <c r="Q45">
        <v>0.1239</v>
      </c>
      <c r="R45" s="10"/>
      <c r="S45" s="11">
        <f>ROUND(ТабБіо[[#This Row],[Зелений Тариф ЕЦ]]+ТабБіо[[#This Row],[Зелений Тариф ЕЦ]]*ТабБіо[[#This Row],[% надбавки]],4)</f>
        <v>0.1239</v>
      </c>
      <c r="T45" s="26"/>
      <c r="U45">
        <v>0</v>
      </c>
      <c r="V45">
        <v>0</v>
      </c>
      <c r="W45">
        <v>0</v>
      </c>
      <c r="X45">
        <v>0</v>
      </c>
      <c r="Y45">
        <v>0.187</v>
      </c>
      <c r="Z45">
        <v>0.46200000000000002</v>
      </c>
      <c r="AA45">
        <v>0.57400000000000007</v>
      </c>
      <c r="AB45">
        <v>1.0039999999999998</v>
      </c>
      <c r="AC45">
        <v>0.40700000000000003</v>
      </c>
      <c r="AD45">
        <v>0.71200000000000019</v>
      </c>
      <c r="AE45">
        <v>0.32099999999999973</v>
      </c>
      <c r="AF45">
        <v>0.61300000000000043</v>
      </c>
      <c r="AG45">
        <v>1.0860000000000001</v>
      </c>
      <c r="AH45">
        <v>0.94299999999999995</v>
      </c>
      <c r="AI45">
        <v>0.77</v>
      </c>
      <c r="AJ45">
        <v>0.56799999999999995</v>
      </c>
      <c r="AK45">
        <v>1.2010000000000001</v>
      </c>
      <c r="AL45">
        <v>1.135</v>
      </c>
      <c r="AM45">
        <v>1.026</v>
      </c>
      <c r="AN45">
        <v>0.90700000000000003</v>
      </c>
      <c r="AO45">
        <v>0.20399999999999999</v>
      </c>
      <c r="AP45">
        <v>1.1200000000000001</v>
      </c>
      <c r="AQ45">
        <v>1.093</v>
      </c>
      <c r="AR45">
        <v>1.081</v>
      </c>
      <c r="AS45">
        <v>0.44400000000000001</v>
      </c>
      <c r="AT45">
        <v>0.94599999999999995</v>
      </c>
      <c r="AU45">
        <v>1.2310000000000001</v>
      </c>
      <c r="AV45">
        <v>0.54300000000000004</v>
      </c>
      <c r="AW45">
        <v>1.1830000000000001</v>
      </c>
      <c r="AX45">
        <v>1.204</v>
      </c>
      <c r="AY45">
        <v>1.0289999999999999</v>
      </c>
      <c r="AZ45">
        <v>1.331</v>
      </c>
    </row>
    <row r="46" spans="1:52">
      <c r="A46" t="s">
        <v>195</v>
      </c>
      <c r="B46" t="s">
        <v>286</v>
      </c>
      <c r="C46">
        <v>13592947</v>
      </c>
      <c r="D46" t="s">
        <v>119</v>
      </c>
      <c r="E46" t="s">
        <v>195</v>
      </c>
      <c r="F46" s="1" t="s">
        <v>287</v>
      </c>
      <c r="G46" t="s">
        <v>288</v>
      </c>
      <c r="H46" t="s">
        <v>233</v>
      </c>
      <c r="I46" t="s">
        <v>289</v>
      </c>
      <c r="J46" t="s">
        <v>290</v>
      </c>
      <c r="K46" t="s">
        <v>290</v>
      </c>
      <c r="L46" s="7">
        <v>0.6</v>
      </c>
      <c r="M46" s="8">
        <v>41940</v>
      </c>
      <c r="N46">
        <v>10</v>
      </c>
      <c r="O46" t="s">
        <v>71</v>
      </c>
      <c r="P46">
        <v>2014</v>
      </c>
      <c r="Q46">
        <v>0.1239</v>
      </c>
      <c r="R46" s="10"/>
      <c r="S46" s="11">
        <f>ROUND(ТабБіо[[#This Row],[Зелений Тариф ЕЦ]]+ТабБіо[[#This Row],[Зелений Тариф ЕЦ]]*ТабБіо[[#This Row],[% надбавки]],4)</f>
        <v>0.1239</v>
      </c>
      <c r="T46" s="26"/>
      <c r="U46">
        <v>9.8000000000000004E-2</v>
      </c>
      <c r="V46">
        <v>0.11099999999999999</v>
      </c>
      <c r="W46">
        <v>0.11800000000000002</v>
      </c>
      <c r="X46">
        <v>9.9999999999999978E-2</v>
      </c>
      <c r="Y46">
        <v>9.2000000000000026E-2</v>
      </c>
      <c r="Z46">
        <v>8.9999999999999969E-2</v>
      </c>
      <c r="AA46">
        <v>8.3999999999999964E-2</v>
      </c>
      <c r="AB46">
        <v>6.2000000000000055E-2</v>
      </c>
      <c r="AC46">
        <v>3.7000000000000033E-2</v>
      </c>
      <c r="AD46">
        <v>5.1999999999999935E-2</v>
      </c>
      <c r="AE46">
        <v>7.6000000000000068E-2</v>
      </c>
      <c r="AF46">
        <v>8.1999999999999962E-2</v>
      </c>
      <c r="AG46">
        <v>5.8999999999999997E-2</v>
      </c>
      <c r="AH46">
        <v>6.8000000000000005E-2</v>
      </c>
      <c r="AI46">
        <v>7.3999999999999996E-2</v>
      </c>
      <c r="AJ46">
        <v>7.3999999999999996E-2</v>
      </c>
      <c r="AK46">
        <v>7.2999999999999995E-2</v>
      </c>
      <c r="AL46">
        <v>6.6000000000000003E-2</v>
      </c>
      <c r="AM46">
        <v>7.3999999999999996E-2</v>
      </c>
      <c r="AN46">
        <v>5.7000000000000002E-2</v>
      </c>
      <c r="AO46">
        <v>5.5E-2</v>
      </c>
      <c r="AP46">
        <v>5.8999999999999997E-2</v>
      </c>
      <c r="AQ46">
        <v>6.5000000000000002E-2</v>
      </c>
      <c r="AR46">
        <v>5.8000000000000003E-2</v>
      </c>
      <c r="AS46">
        <v>4.1000000000000002E-2</v>
      </c>
      <c r="AT46">
        <v>4.8000000000000001E-2</v>
      </c>
      <c r="AU46">
        <v>5.6000000000000001E-2</v>
      </c>
      <c r="AV46">
        <v>5.5E-2</v>
      </c>
      <c r="AW46">
        <v>5.8999999999999997E-2</v>
      </c>
      <c r="AX46">
        <v>5.6000000000000001E-2</v>
      </c>
      <c r="AY46">
        <v>7.0000000000000007E-2</v>
      </c>
      <c r="AZ46">
        <v>6.9000000000000006E-2</v>
      </c>
    </row>
    <row r="47" spans="1:52">
      <c r="A47" t="s">
        <v>195</v>
      </c>
      <c r="B47" t="s">
        <v>291</v>
      </c>
      <c r="C47">
        <v>35533809</v>
      </c>
      <c r="D47" t="s">
        <v>119</v>
      </c>
      <c r="E47" t="s">
        <v>195</v>
      </c>
      <c r="F47" s="1" t="s">
        <v>292</v>
      </c>
      <c r="G47" t="s">
        <v>207</v>
      </c>
      <c r="H47" t="s">
        <v>107</v>
      </c>
      <c r="I47" t="s">
        <v>293</v>
      </c>
      <c r="K47" t="s">
        <v>294</v>
      </c>
      <c r="L47" s="7">
        <v>1.0629999999999999</v>
      </c>
      <c r="M47" s="8">
        <v>41389</v>
      </c>
      <c r="N47">
        <v>4</v>
      </c>
      <c r="O47" t="s">
        <v>57</v>
      </c>
      <c r="P47">
        <v>2013</v>
      </c>
      <c r="Q47">
        <v>0.1239</v>
      </c>
      <c r="R47" s="10"/>
      <c r="S47" s="11">
        <f>ROUND(ТабБіо[[#This Row],[Зелений Тариф ЕЦ]]+ТабБіо[[#This Row],[Зелений Тариф ЕЦ]]*ТабБіо[[#This Row],[% надбавки]],4)</f>
        <v>0.1239</v>
      </c>
      <c r="T47" s="26"/>
      <c r="U47">
        <v>2.5550000000000002</v>
      </c>
      <c r="V47">
        <v>2.3050000000000002</v>
      </c>
      <c r="W47">
        <v>2.4329999999999998</v>
      </c>
      <c r="X47">
        <v>2.3180000000000005</v>
      </c>
      <c r="Y47">
        <v>2.6909999999999989</v>
      </c>
      <c r="Z47">
        <v>2.6280000000000001</v>
      </c>
      <c r="AA47">
        <v>2.2149999999999999</v>
      </c>
      <c r="AB47">
        <v>2.2630000000000017</v>
      </c>
      <c r="AC47">
        <v>2.1589999999999989</v>
      </c>
      <c r="AD47">
        <v>2.2059999999999995</v>
      </c>
      <c r="AE47">
        <v>2.2540000000000013</v>
      </c>
      <c r="AF47">
        <v>2.2889999999999979</v>
      </c>
      <c r="AG47">
        <v>2.2349999999999999</v>
      </c>
      <c r="AH47">
        <v>2.0590000000000002</v>
      </c>
      <c r="AI47">
        <v>2.2549999999999999</v>
      </c>
      <c r="AJ47">
        <v>2.0760000000000001</v>
      </c>
      <c r="AK47">
        <v>2.0569999999999999</v>
      </c>
      <c r="AL47">
        <v>1.8839999999999999</v>
      </c>
      <c r="AM47">
        <v>2.0550000000000002</v>
      </c>
      <c r="AN47">
        <v>2.0350000000000001</v>
      </c>
      <c r="AO47">
        <v>1.849</v>
      </c>
      <c r="AP47">
        <v>2.02</v>
      </c>
      <c r="AQ47">
        <v>1.9510000000000001</v>
      </c>
      <c r="AR47">
        <v>1.889</v>
      </c>
      <c r="AS47">
        <v>1.9550000000000001</v>
      </c>
      <c r="AT47">
        <v>1.764</v>
      </c>
      <c r="AU47">
        <v>1.992</v>
      </c>
      <c r="AV47">
        <v>1.9510000000000001</v>
      </c>
      <c r="AW47">
        <v>2.0419999999999998</v>
      </c>
      <c r="AX47">
        <v>1.9039999999999999</v>
      </c>
      <c r="AY47">
        <v>1.903</v>
      </c>
      <c r="AZ47">
        <v>1.792</v>
      </c>
    </row>
    <row r="48" spans="1:52">
      <c r="A48" t="s">
        <v>195</v>
      </c>
      <c r="B48" t="s">
        <v>295</v>
      </c>
      <c r="C48">
        <v>35533809</v>
      </c>
      <c r="D48" t="s">
        <v>119</v>
      </c>
      <c r="E48" t="s">
        <v>195</v>
      </c>
      <c r="F48" s="1" t="s">
        <v>296</v>
      </c>
      <c r="G48" t="s">
        <v>297</v>
      </c>
      <c r="H48" t="s">
        <v>107</v>
      </c>
      <c r="I48" t="s">
        <v>298</v>
      </c>
      <c r="K48" t="s">
        <v>299</v>
      </c>
      <c r="L48" s="7">
        <v>2.1259999999999999</v>
      </c>
      <c r="M48" s="8">
        <v>41564</v>
      </c>
      <c r="N48">
        <v>10</v>
      </c>
      <c r="O48" t="s">
        <v>71</v>
      </c>
      <c r="P48">
        <v>2013</v>
      </c>
      <c r="Q48">
        <v>0.1239</v>
      </c>
      <c r="R48" s="10"/>
      <c r="S48" s="11">
        <f>ROUND(ТабБіо[[#This Row],[Зелений Тариф ЕЦ]]+ТабБіо[[#This Row],[Зелений Тариф ЕЦ]]*ТабБіо[[#This Row],[% надбавки]],4)</f>
        <v>0.1239</v>
      </c>
      <c r="T48" s="26"/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>
      <c r="A49" t="s">
        <v>195</v>
      </c>
      <c r="B49" t="s">
        <v>300</v>
      </c>
      <c r="C49">
        <v>35533809</v>
      </c>
      <c r="D49" t="s">
        <v>119</v>
      </c>
      <c r="E49" t="s">
        <v>195</v>
      </c>
      <c r="F49" s="1" t="s">
        <v>292</v>
      </c>
      <c r="G49" t="s">
        <v>207</v>
      </c>
      <c r="H49" t="s">
        <v>107</v>
      </c>
      <c r="I49" t="s">
        <v>301</v>
      </c>
      <c r="K49" t="s">
        <v>302</v>
      </c>
      <c r="L49" s="7">
        <v>0.88500000000000001</v>
      </c>
      <c r="M49" s="8">
        <v>41746</v>
      </c>
      <c r="N49">
        <v>4</v>
      </c>
      <c r="O49" t="s">
        <v>57</v>
      </c>
      <c r="P49">
        <v>2014</v>
      </c>
      <c r="Q49">
        <v>0.1239</v>
      </c>
      <c r="R49" s="10"/>
      <c r="S49" s="11">
        <f>ROUND(ТабБіо[[#This Row],[Зелений Тариф ЕЦ]]+ТабБіо[[#This Row],[Зелений Тариф ЕЦ]]*ТабБіо[[#This Row],[% надбавки]],4)</f>
        <v>0.1239</v>
      </c>
      <c r="T49" s="26"/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>
      <c r="A50" t="s">
        <v>195</v>
      </c>
      <c r="B50" t="s">
        <v>303</v>
      </c>
      <c r="C50">
        <v>35533809</v>
      </c>
      <c r="D50" t="s">
        <v>119</v>
      </c>
      <c r="E50" t="s">
        <v>195</v>
      </c>
      <c r="F50" s="1" t="s">
        <v>292</v>
      </c>
      <c r="G50" t="s">
        <v>207</v>
      </c>
      <c r="H50" t="s">
        <v>176</v>
      </c>
      <c r="I50" t="s">
        <v>304</v>
      </c>
      <c r="K50" t="s">
        <v>305</v>
      </c>
      <c r="L50" s="7">
        <v>1.0629999999999999</v>
      </c>
      <c r="M50" s="8">
        <v>41982</v>
      </c>
      <c r="N50">
        <v>12</v>
      </c>
      <c r="O50" t="s">
        <v>71</v>
      </c>
      <c r="P50">
        <v>2014</v>
      </c>
      <c r="Q50">
        <v>0.1239</v>
      </c>
      <c r="R50" s="10"/>
      <c r="S50" s="11">
        <f>ROUND(ТабБіо[[#This Row],[Зелений Тариф ЕЦ]]+ТабБіо[[#This Row],[Зелений Тариф ЕЦ]]*ТабБіо[[#This Row],[% надбавки]],4)</f>
        <v>0.1239</v>
      </c>
      <c r="T50" s="26"/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>
      <c r="A51" t="s">
        <v>195</v>
      </c>
      <c r="B51" t="s">
        <v>306</v>
      </c>
      <c r="C51">
        <v>35533809</v>
      </c>
      <c r="D51" t="s">
        <v>119</v>
      </c>
      <c r="E51" t="s">
        <v>195</v>
      </c>
      <c r="F51" s="1" t="s">
        <v>292</v>
      </c>
      <c r="G51" t="s">
        <v>207</v>
      </c>
      <c r="H51" t="s">
        <v>82</v>
      </c>
      <c r="I51" t="s">
        <v>307</v>
      </c>
      <c r="K51" t="s">
        <v>308</v>
      </c>
      <c r="L51" s="7">
        <v>1.0629999999999999</v>
      </c>
      <c r="M51" s="8">
        <v>41982</v>
      </c>
      <c r="N51">
        <v>12</v>
      </c>
      <c r="O51" t="s">
        <v>71</v>
      </c>
      <c r="P51">
        <v>2014</v>
      </c>
      <c r="Q51">
        <v>0.1239</v>
      </c>
      <c r="R51" s="10"/>
      <c r="S51" s="11">
        <f>ROUND(ТабБіо[[#This Row],[Зелений Тариф ЕЦ]]+ТабБіо[[#This Row],[Зелений Тариф ЕЦ]]*ТабБіо[[#This Row],[% надбавки]],4)</f>
        <v>0.1239</v>
      </c>
      <c r="T51" s="26"/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>
      <c r="A52" t="s">
        <v>195</v>
      </c>
      <c r="B52" t="s">
        <v>309</v>
      </c>
      <c r="C52">
        <v>35533809</v>
      </c>
      <c r="D52" t="s">
        <v>119</v>
      </c>
      <c r="E52" t="s">
        <v>195</v>
      </c>
      <c r="F52" s="1" t="s">
        <v>292</v>
      </c>
      <c r="G52" t="s">
        <v>207</v>
      </c>
      <c r="H52" t="s">
        <v>163</v>
      </c>
      <c r="I52" t="s">
        <v>310</v>
      </c>
      <c r="K52" t="s">
        <v>311</v>
      </c>
      <c r="L52" s="7">
        <v>0.6</v>
      </c>
      <c r="M52" s="8">
        <v>42850</v>
      </c>
      <c r="N52">
        <v>4</v>
      </c>
      <c r="O52" t="s">
        <v>57</v>
      </c>
      <c r="P52">
        <v>2017</v>
      </c>
      <c r="Q52">
        <v>0.1239</v>
      </c>
      <c r="R52" s="10"/>
      <c r="S52" s="11">
        <f>ROUND(ТабБіо[[#This Row],[Зелений Тариф ЕЦ]]+ТабБіо[[#This Row],[Зелений Тариф ЕЦ]]*ТабБіо[[#This Row],[% надбавки]],4)</f>
        <v>0.1239</v>
      </c>
      <c r="T52" s="26"/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>
      <c r="A53" t="s">
        <v>195</v>
      </c>
      <c r="B53" t="s">
        <v>312</v>
      </c>
      <c r="C53">
        <v>35533809</v>
      </c>
      <c r="D53" t="s">
        <v>119</v>
      </c>
      <c r="E53" t="s">
        <v>195</v>
      </c>
      <c r="F53" s="1" t="s">
        <v>292</v>
      </c>
      <c r="G53" t="s">
        <v>207</v>
      </c>
      <c r="H53" t="s">
        <v>136</v>
      </c>
      <c r="I53" t="s">
        <v>313</v>
      </c>
      <c r="K53" t="s">
        <v>314</v>
      </c>
      <c r="L53" s="7">
        <v>0.63500000000000001</v>
      </c>
      <c r="M53" s="8">
        <v>43643</v>
      </c>
      <c r="N53">
        <v>6</v>
      </c>
      <c r="O53" t="s">
        <v>57</v>
      </c>
      <c r="P53">
        <v>2019</v>
      </c>
      <c r="Q53">
        <v>0.1239</v>
      </c>
      <c r="R53" s="10"/>
      <c r="S53" s="11">
        <f>ROUND(ТабБіо[[#This Row],[Зелений Тариф ЕЦ]]+ТабБіо[[#This Row],[Зелений Тариф ЕЦ]]*ТабБіо[[#This Row],[% надбавки]],4)</f>
        <v>0.1239</v>
      </c>
      <c r="T53" s="26"/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>
      <c r="A54" t="s">
        <v>195</v>
      </c>
      <c r="C54" t="s">
        <v>58</v>
      </c>
      <c r="D54" t="s">
        <v>119</v>
      </c>
      <c r="E54" t="s">
        <v>195</v>
      </c>
      <c r="F54" s="1" t="s">
        <v>315</v>
      </c>
      <c r="H54" t="s">
        <v>122</v>
      </c>
      <c r="I54" t="s">
        <v>316</v>
      </c>
      <c r="J54" t="s">
        <v>317</v>
      </c>
      <c r="K54" t="s">
        <v>318</v>
      </c>
      <c r="L54" s="7">
        <v>3.6</v>
      </c>
      <c r="M54" s="8">
        <v>42810</v>
      </c>
      <c r="N54">
        <v>3</v>
      </c>
      <c r="O54" t="s">
        <v>67</v>
      </c>
      <c r="P54">
        <v>2017</v>
      </c>
      <c r="Q54">
        <v>0.1239</v>
      </c>
      <c r="R54" s="10"/>
      <c r="S54" s="11">
        <f>ROUND(ТабБіо[[#This Row],[Зелений Тариф ЕЦ]]+ТабБіо[[#This Row],[Зелений Тариф ЕЦ]]*ТабБіо[[#This Row],[% надбавки]],4)</f>
        <v>0.1239</v>
      </c>
      <c r="T54" s="26"/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>
      <c r="A55" t="s">
        <v>195</v>
      </c>
      <c r="B55" t="s">
        <v>319</v>
      </c>
      <c r="C55">
        <v>34422490</v>
      </c>
      <c r="D55" t="s">
        <v>119</v>
      </c>
      <c r="E55" t="s">
        <v>195</v>
      </c>
      <c r="F55" s="1" t="s">
        <v>320</v>
      </c>
      <c r="G55" t="s">
        <v>207</v>
      </c>
      <c r="H55" t="s">
        <v>321</v>
      </c>
      <c r="I55" t="s">
        <v>322</v>
      </c>
      <c r="K55" t="s">
        <v>323</v>
      </c>
      <c r="L55" s="7">
        <v>0.65700000000000003</v>
      </c>
      <c r="M55" s="8">
        <v>43020</v>
      </c>
      <c r="N55">
        <v>10</v>
      </c>
      <c r="O55" t="s">
        <v>71</v>
      </c>
      <c r="P55">
        <v>2017</v>
      </c>
      <c r="Q55">
        <v>0.1239</v>
      </c>
      <c r="R55" s="10"/>
      <c r="S55" s="11">
        <f>ROUND(ТабБіо[[#This Row],[Зелений Тариф ЕЦ]]+ТабБіо[[#This Row],[Зелений Тариф ЕЦ]]*ТабБіо[[#This Row],[% надбавки]],4)</f>
        <v>0.1239</v>
      </c>
      <c r="T55" s="26"/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7.1999999999999995E-2</v>
      </c>
      <c r="AO55">
        <v>7.0000000000000007E-2</v>
      </c>
      <c r="AP55">
        <v>0.10100000000000001</v>
      </c>
      <c r="AQ55">
        <v>7.2999999999999995E-2</v>
      </c>
      <c r="AR55">
        <v>8.4000000000000005E-2</v>
      </c>
      <c r="AS55">
        <v>9.4E-2</v>
      </c>
      <c r="AT55">
        <v>8.2000000000000003E-2</v>
      </c>
      <c r="AU55">
        <v>0.158</v>
      </c>
      <c r="AV55">
        <v>0.16400000000000001</v>
      </c>
      <c r="AW55">
        <v>0.17699999999999999</v>
      </c>
      <c r="AX55">
        <v>0.16700000000000001</v>
      </c>
      <c r="AY55">
        <v>0.16</v>
      </c>
      <c r="AZ55">
        <v>0.21</v>
      </c>
    </row>
    <row r="56" spans="1:52" ht="25.5">
      <c r="A56" t="s">
        <v>195</v>
      </c>
      <c r="B56" t="s">
        <v>324</v>
      </c>
      <c r="C56">
        <v>33642352</v>
      </c>
      <c r="D56" t="s">
        <v>119</v>
      </c>
      <c r="E56" t="s">
        <v>195</v>
      </c>
      <c r="F56" s="1" t="s">
        <v>325</v>
      </c>
      <c r="G56" t="s">
        <v>207</v>
      </c>
      <c r="H56" t="s">
        <v>172</v>
      </c>
      <c r="I56" t="s">
        <v>326</v>
      </c>
      <c r="J56" t="s">
        <v>326</v>
      </c>
      <c r="K56" t="s">
        <v>327</v>
      </c>
      <c r="L56" s="7">
        <v>0.63</v>
      </c>
      <c r="M56" s="8">
        <v>43382</v>
      </c>
      <c r="N56">
        <v>10</v>
      </c>
      <c r="O56" t="s">
        <v>71</v>
      </c>
      <c r="P56">
        <v>2018</v>
      </c>
      <c r="Q56">
        <v>0.1239</v>
      </c>
      <c r="R56" s="10">
        <v>0.1</v>
      </c>
      <c r="S56" s="11">
        <f>ROUND(ТабБіо[[#This Row],[Зелений Тариф ЕЦ]]+ТабБіо[[#This Row],[Зелений Тариф ЕЦ]]*ТабБіо[[#This Row],[% надбавки]],4)</f>
        <v>0.1363</v>
      </c>
      <c r="T56" s="26">
        <v>43396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4.9000000000000002E-2</v>
      </c>
      <c r="AQ56">
        <v>3.1E-2</v>
      </c>
      <c r="AR56">
        <v>0.05</v>
      </c>
      <c r="AS56">
        <v>5.3999999999999999E-2</v>
      </c>
      <c r="AT56">
        <v>6.3E-2</v>
      </c>
      <c r="AU56">
        <v>6.2E-2</v>
      </c>
      <c r="AV56">
        <v>7.5999999999999998E-2</v>
      </c>
      <c r="AW56">
        <v>8.5999999999999993E-2</v>
      </c>
      <c r="AX56">
        <v>0.113</v>
      </c>
      <c r="AY56">
        <v>0.14000000000000001</v>
      </c>
      <c r="AZ56">
        <v>0.13800000000000001</v>
      </c>
    </row>
    <row r="57" spans="1:52">
      <c r="A57" t="s">
        <v>195</v>
      </c>
      <c r="B57" t="s">
        <v>328</v>
      </c>
      <c r="C57">
        <v>24426809</v>
      </c>
      <c r="D57" t="s">
        <v>119</v>
      </c>
      <c r="E57" t="s">
        <v>195</v>
      </c>
      <c r="F57" s="1" t="s">
        <v>329</v>
      </c>
      <c r="G57" t="s">
        <v>131</v>
      </c>
      <c r="H57" t="s">
        <v>122</v>
      </c>
      <c r="I57" t="s">
        <v>330</v>
      </c>
      <c r="J57" t="s">
        <v>331</v>
      </c>
      <c r="K57" t="s">
        <v>331</v>
      </c>
      <c r="L57" s="7">
        <v>5.6920000000000002</v>
      </c>
      <c r="M57" s="8">
        <v>41599</v>
      </c>
      <c r="N57">
        <v>11</v>
      </c>
      <c r="O57" t="s">
        <v>71</v>
      </c>
      <c r="P57">
        <v>2013</v>
      </c>
      <c r="Q57">
        <v>0.1239</v>
      </c>
      <c r="R57" s="10"/>
      <c r="S57" s="11">
        <f>ROUND(ТабБіо[[#This Row],[Зелений Тариф ЕЦ]]+ТабБіо[[#This Row],[Зелений Тариф ЕЦ]]*ТабБіо[[#This Row],[% надбавки]],4)</f>
        <v>0.1239</v>
      </c>
      <c r="T57" s="26"/>
      <c r="U57">
        <v>3.1030000000000002</v>
      </c>
      <c r="V57">
        <v>2.9769999999999999</v>
      </c>
      <c r="W57">
        <v>3.1340000000000003</v>
      </c>
      <c r="X57">
        <v>3.0489999999999995</v>
      </c>
      <c r="Y57">
        <v>2.9109999999999996</v>
      </c>
      <c r="Z57">
        <v>3.4989999999999988</v>
      </c>
      <c r="AA57">
        <v>3.2470000000000034</v>
      </c>
      <c r="AB57">
        <v>2.972999999999999</v>
      </c>
      <c r="AC57">
        <v>2.6649999999999991</v>
      </c>
      <c r="AD57">
        <v>2.9230000000000018</v>
      </c>
      <c r="AE57">
        <v>2.8539999999999992</v>
      </c>
      <c r="AF57">
        <v>3.1890000000000001</v>
      </c>
      <c r="AG57">
        <v>3.4630000000000001</v>
      </c>
      <c r="AH57">
        <v>3.1379999999999999</v>
      </c>
      <c r="AI57">
        <v>3.2690000000000001</v>
      </c>
      <c r="AJ57">
        <v>3.1949999999999998</v>
      </c>
      <c r="AK57">
        <v>3.669</v>
      </c>
      <c r="AL57">
        <v>3.5310000000000001</v>
      </c>
      <c r="AM57">
        <v>3.85</v>
      </c>
      <c r="AN57">
        <v>3.9340000000000002</v>
      </c>
      <c r="AO57">
        <v>3.649</v>
      </c>
      <c r="AP57">
        <v>3.8650000000000002</v>
      </c>
      <c r="AQ57">
        <v>3.55</v>
      </c>
      <c r="AR57">
        <v>3.1259999999999999</v>
      </c>
      <c r="AS57">
        <v>2.0419999999999998</v>
      </c>
      <c r="AT57">
        <v>1.7090000000000001</v>
      </c>
      <c r="AU57">
        <v>2.7949999999999999</v>
      </c>
      <c r="AV57">
        <v>2.9060000000000001</v>
      </c>
      <c r="AW57">
        <v>3.1</v>
      </c>
      <c r="AX57">
        <v>2.7949999999999999</v>
      </c>
      <c r="AY57">
        <v>3.2320000000000002</v>
      </c>
      <c r="AZ57">
        <v>2.8460000000000001</v>
      </c>
    </row>
    <row r="58" spans="1:52">
      <c r="A58" t="s">
        <v>195</v>
      </c>
      <c r="B58" t="s">
        <v>332</v>
      </c>
      <c r="C58">
        <v>38840201</v>
      </c>
      <c r="D58" t="s">
        <v>119</v>
      </c>
      <c r="E58" t="s">
        <v>195</v>
      </c>
      <c r="F58" s="1" t="s">
        <v>333</v>
      </c>
      <c r="G58" t="s">
        <v>334</v>
      </c>
      <c r="H58" t="s">
        <v>107</v>
      </c>
      <c r="J58" t="s">
        <v>335</v>
      </c>
      <c r="K58" t="s">
        <v>335</v>
      </c>
      <c r="L58" s="7">
        <v>2.3820000000000001</v>
      </c>
      <c r="M58" s="8">
        <v>42152</v>
      </c>
      <c r="N58">
        <v>5</v>
      </c>
      <c r="O58" t="s">
        <v>57</v>
      </c>
      <c r="P58">
        <v>2015</v>
      </c>
      <c r="Q58">
        <v>0.1239</v>
      </c>
      <c r="R58" s="10"/>
      <c r="S58" s="11">
        <f>ROUND(ТабБіо[[#This Row],[Зелений Тариф ЕЦ]]+ТабБіо[[#This Row],[Зелений Тариф ЕЦ]]*ТабБіо[[#This Row],[% надбавки]],4)</f>
        <v>0.1239</v>
      </c>
      <c r="T58" s="26"/>
      <c r="U58">
        <v>0.503</v>
      </c>
      <c r="V58">
        <v>0.15300000000000002</v>
      </c>
      <c r="W58">
        <v>0</v>
      </c>
      <c r="X58">
        <v>0</v>
      </c>
      <c r="Y58">
        <v>0</v>
      </c>
      <c r="Z58">
        <v>0</v>
      </c>
      <c r="AA58">
        <v>6.0999999999999943E-2</v>
      </c>
      <c r="AB58">
        <v>0.43400000000000005</v>
      </c>
      <c r="AC58">
        <v>0.55200000000000005</v>
      </c>
      <c r="AD58">
        <v>0.61299999999999977</v>
      </c>
      <c r="AE58">
        <v>0.63100000000000023</v>
      </c>
      <c r="AF58">
        <v>0.61899999999999977</v>
      </c>
      <c r="AG58">
        <v>0.83799999999999997</v>
      </c>
      <c r="AH58">
        <v>0.73399999999999999</v>
      </c>
      <c r="AI58">
        <v>0.89100000000000001</v>
      </c>
      <c r="AJ58">
        <v>0.86599999999999999</v>
      </c>
      <c r="AK58">
        <v>1</v>
      </c>
      <c r="AL58">
        <v>1.046</v>
      </c>
      <c r="AM58">
        <v>0.90300000000000002</v>
      </c>
      <c r="AN58">
        <v>1.044</v>
      </c>
      <c r="AO58">
        <v>1.212</v>
      </c>
      <c r="AP58">
        <v>1.069</v>
      </c>
      <c r="AQ58">
        <v>1.0640000000000001</v>
      </c>
      <c r="AR58">
        <v>0.98299999999999998</v>
      </c>
      <c r="AS58">
        <v>1.0489999999999999</v>
      </c>
      <c r="AT58">
        <v>1.129</v>
      </c>
      <c r="AU58">
        <v>0.998</v>
      </c>
      <c r="AV58">
        <v>0.871</v>
      </c>
      <c r="AW58">
        <v>0.86799999999999999</v>
      </c>
      <c r="AX58">
        <v>0.746</v>
      </c>
      <c r="AY58">
        <v>1.111</v>
      </c>
      <c r="AZ58">
        <v>1.1279999999999999</v>
      </c>
    </row>
    <row r="59" spans="1:52">
      <c r="A59" t="s">
        <v>195</v>
      </c>
      <c r="B59" t="s">
        <v>336</v>
      </c>
      <c r="C59">
        <v>429157</v>
      </c>
      <c r="D59" t="s">
        <v>119</v>
      </c>
      <c r="E59" t="s">
        <v>195</v>
      </c>
      <c r="F59" s="1" t="s">
        <v>337</v>
      </c>
      <c r="G59" t="s">
        <v>334</v>
      </c>
      <c r="H59" t="s">
        <v>82</v>
      </c>
      <c r="I59" t="s">
        <v>338</v>
      </c>
      <c r="J59" t="s">
        <v>339</v>
      </c>
      <c r="K59" t="s">
        <v>340</v>
      </c>
      <c r="L59" s="7">
        <v>0.40100000000000002</v>
      </c>
      <c r="M59" s="8">
        <v>43602</v>
      </c>
      <c r="N59">
        <v>5</v>
      </c>
      <c r="O59" t="s">
        <v>57</v>
      </c>
      <c r="P59">
        <v>2019</v>
      </c>
      <c r="Q59">
        <v>0.1239</v>
      </c>
      <c r="R59" s="10"/>
      <c r="S59" s="11">
        <f>ROUND(ТабБіо[[#This Row],[Зелений Тариф ЕЦ]]+ТабБіо[[#This Row],[Зелений Тариф ЕЦ]]*ТабБіо[[#This Row],[% надбавки]],4)</f>
        <v>0.1239</v>
      </c>
      <c r="T59" s="26"/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2.5999999999999999E-2</v>
      </c>
      <c r="AY59">
        <v>4.8000000000000001E-2</v>
      </c>
      <c r="AZ59">
        <v>4.4999999999999998E-2</v>
      </c>
    </row>
    <row r="60" spans="1:52">
      <c r="A60" t="s">
        <v>195</v>
      </c>
      <c r="C60" t="s">
        <v>58</v>
      </c>
      <c r="D60" t="s">
        <v>119</v>
      </c>
      <c r="E60" t="s">
        <v>195</v>
      </c>
      <c r="F60" s="1" t="s">
        <v>341</v>
      </c>
      <c r="G60" t="s">
        <v>239</v>
      </c>
      <c r="H60" t="s">
        <v>101</v>
      </c>
      <c r="I60" t="s">
        <v>342</v>
      </c>
      <c r="J60" t="s">
        <v>343</v>
      </c>
      <c r="K60" t="s">
        <v>344</v>
      </c>
      <c r="L60" s="7">
        <v>1.2030000000000001</v>
      </c>
      <c r="M60" s="8">
        <v>43371</v>
      </c>
      <c r="N60">
        <v>9</v>
      </c>
      <c r="O60" t="s">
        <v>60</v>
      </c>
      <c r="P60">
        <v>2018</v>
      </c>
      <c r="Q60">
        <v>0.1239</v>
      </c>
      <c r="R60" s="10"/>
      <c r="S60" s="11">
        <f>ROUND(ТабБіо[[#This Row],[Зелений Тариф ЕЦ]]+ТабБіо[[#This Row],[Зелений Тариф ЕЦ]]*ТабБіо[[#This Row],[% надбавки]],4)</f>
        <v>0.1239</v>
      </c>
      <c r="T60" s="26"/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>
      <c r="A61" t="s">
        <v>195</v>
      </c>
      <c r="B61" t="s">
        <v>345</v>
      </c>
      <c r="C61">
        <v>36259686</v>
      </c>
      <c r="D61" t="s">
        <v>119</v>
      </c>
      <c r="E61" t="s">
        <v>195</v>
      </c>
      <c r="F61" s="1" t="s">
        <v>346</v>
      </c>
      <c r="G61" t="s">
        <v>347</v>
      </c>
      <c r="H61" t="s">
        <v>56</v>
      </c>
      <c r="I61" t="s">
        <v>348</v>
      </c>
      <c r="J61" t="s">
        <v>348</v>
      </c>
      <c r="K61" t="s">
        <v>348</v>
      </c>
      <c r="L61" s="7">
        <v>0.2</v>
      </c>
      <c r="M61" s="8">
        <v>41508</v>
      </c>
      <c r="N61">
        <v>8</v>
      </c>
      <c r="O61" t="s">
        <v>60</v>
      </c>
      <c r="P61">
        <v>2013</v>
      </c>
      <c r="Q61">
        <v>0.1239</v>
      </c>
      <c r="R61" s="10"/>
      <c r="S61" s="11">
        <f>ROUND(ТабБіо[[#This Row],[Зелений Тариф ЕЦ]]+ТабБіо[[#This Row],[Зелений Тариф ЕЦ]]*ТабБіо[[#This Row],[% надбавки]],4)</f>
        <v>0.1239</v>
      </c>
      <c r="T61" s="26"/>
      <c r="U61">
        <v>3.5999999999999997E-2</v>
      </c>
      <c r="V61">
        <v>4.8000000000000008E-2</v>
      </c>
      <c r="W61">
        <v>3.4999999999999989E-2</v>
      </c>
      <c r="X61">
        <v>8.0000000000000071E-3</v>
      </c>
      <c r="Y61">
        <v>5.7999999999999996E-2</v>
      </c>
      <c r="Z61">
        <v>3.1E-2</v>
      </c>
      <c r="AA61">
        <v>2.1999999999999992E-2</v>
      </c>
      <c r="AB61">
        <v>1.3000000000000012E-2</v>
      </c>
      <c r="AC61">
        <v>3.3999999999999975E-2</v>
      </c>
      <c r="AD61">
        <v>4.8000000000000043E-2</v>
      </c>
      <c r="AE61">
        <v>3.5999999999999976E-2</v>
      </c>
      <c r="AF61">
        <v>3.5000000000000031E-2</v>
      </c>
      <c r="AG61">
        <v>0</v>
      </c>
      <c r="AH61">
        <v>0</v>
      </c>
      <c r="AI61">
        <v>5.7000000000000002E-2</v>
      </c>
      <c r="AJ61">
        <v>3.2000000000000001E-2</v>
      </c>
      <c r="AK61">
        <v>1.9E-2</v>
      </c>
      <c r="AL61">
        <v>3.9E-2</v>
      </c>
      <c r="AM61">
        <v>1.9E-2</v>
      </c>
      <c r="AN61">
        <v>3.5000000000000003E-2</v>
      </c>
      <c r="AO61">
        <v>2.5000000000000001E-2</v>
      </c>
      <c r="AP61">
        <v>2.5000000000000001E-2</v>
      </c>
      <c r="AQ61">
        <v>2.5000000000000001E-2</v>
      </c>
      <c r="AR61">
        <v>3.4000000000000002E-2</v>
      </c>
      <c r="AS61">
        <v>3.3000000000000002E-2</v>
      </c>
      <c r="AT61">
        <v>2.8000000000000001E-2</v>
      </c>
      <c r="AU61">
        <v>1.7999999999999999E-2</v>
      </c>
      <c r="AV61">
        <v>2.5000000000000001E-2</v>
      </c>
      <c r="AW61">
        <v>2.7E-2</v>
      </c>
      <c r="AX61">
        <v>2.1999999999999999E-2</v>
      </c>
      <c r="AY61">
        <v>2.5000000000000001E-2</v>
      </c>
      <c r="AZ61">
        <v>2.3E-2</v>
      </c>
    </row>
    <row r="62" spans="1:52">
      <c r="A62" t="s">
        <v>195</v>
      </c>
      <c r="B62" t="s">
        <v>349</v>
      </c>
      <c r="C62">
        <v>40055521</v>
      </c>
      <c r="D62" t="s">
        <v>119</v>
      </c>
      <c r="E62" t="s">
        <v>195</v>
      </c>
      <c r="F62" s="1" t="s">
        <v>350</v>
      </c>
      <c r="G62" t="s">
        <v>239</v>
      </c>
      <c r="H62" t="s">
        <v>172</v>
      </c>
      <c r="I62" t="s">
        <v>351</v>
      </c>
      <c r="J62" t="s">
        <v>352</v>
      </c>
      <c r="K62" t="s">
        <v>353</v>
      </c>
      <c r="L62" s="7">
        <v>5.109</v>
      </c>
      <c r="M62" s="8">
        <v>43013</v>
      </c>
      <c r="N62">
        <v>10</v>
      </c>
      <c r="O62" t="s">
        <v>71</v>
      </c>
      <c r="P62">
        <v>2017</v>
      </c>
      <c r="Q62">
        <v>0.1239</v>
      </c>
      <c r="R62" s="10"/>
      <c r="S62" s="11">
        <f>ROUND(ТабБіо[[#This Row],[Зелений Тариф ЕЦ]]+ТабБіо[[#This Row],[Зелений Тариф ЕЦ]]*ТабБіо[[#This Row],[% надбавки]],4)</f>
        <v>0.1239</v>
      </c>
      <c r="T62" s="26"/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1.0549999999999999</v>
      </c>
      <c r="AG62">
        <v>2.3559999999999999</v>
      </c>
      <c r="AH62">
        <v>2.5609999999999999</v>
      </c>
      <c r="AI62">
        <v>3.2080000000000002</v>
      </c>
      <c r="AJ62">
        <v>2.1949999999999998</v>
      </c>
      <c r="AK62">
        <v>2.266</v>
      </c>
      <c r="AL62">
        <v>2.3180000000000001</v>
      </c>
      <c r="AM62">
        <v>2.6429999999999998</v>
      </c>
      <c r="AN62">
        <v>2.9830000000000001</v>
      </c>
      <c r="AO62">
        <v>1.8819999999999999</v>
      </c>
      <c r="AP62">
        <v>2.823</v>
      </c>
      <c r="AQ62">
        <v>3.1619999999999999</v>
      </c>
      <c r="AR62">
        <v>3.2749999999999999</v>
      </c>
      <c r="AS62">
        <v>3.4689999999999999</v>
      </c>
      <c r="AT62">
        <v>3.1960000000000002</v>
      </c>
      <c r="AU62">
        <v>3.472</v>
      </c>
      <c r="AV62">
        <v>3.4039999999999999</v>
      </c>
      <c r="AW62">
        <v>2.9449999999999998</v>
      </c>
      <c r="AX62">
        <v>3.2970000000000002</v>
      </c>
      <c r="AY62">
        <v>3.5369999999999999</v>
      </c>
      <c r="AZ62">
        <v>6.1260000000000003</v>
      </c>
    </row>
    <row r="63" spans="1:52">
      <c r="A63" t="s">
        <v>195</v>
      </c>
      <c r="B63" t="s">
        <v>349</v>
      </c>
      <c r="C63">
        <v>40055521</v>
      </c>
      <c r="D63" t="s">
        <v>119</v>
      </c>
      <c r="E63" t="s">
        <v>195</v>
      </c>
      <c r="F63" s="1" t="s">
        <v>350</v>
      </c>
      <c r="G63" t="s">
        <v>354</v>
      </c>
      <c r="H63" t="s">
        <v>172</v>
      </c>
      <c r="I63" t="s">
        <v>351</v>
      </c>
      <c r="J63" t="s">
        <v>352</v>
      </c>
      <c r="K63" t="s">
        <v>355</v>
      </c>
      <c r="L63" s="7">
        <v>10.5</v>
      </c>
      <c r="M63" s="8">
        <v>43641</v>
      </c>
      <c r="N63">
        <v>6</v>
      </c>
      <c r="O63" t="s">
        <v>57</v>
      </c>
      <c r="P63">
        <v>2019</v>
      </c>
      <c r="Q63">
        <v>0.1239</v>
      </c>
      <c r="R63" s="10"/>
      <c r="S63" s="11">
        <f>ROUND(ТабБіо[[#This Row],[Зелений Тариф ЕЦ]]+ТабБіо[[#This Row],[Зелений Тариф ЕЦ]]*ТабБіо[[#This Row],[% надбавки]],4)</f>
        <v>0.1239</v>
      </c>
      <c r="T63" s="26"/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ht="25.5">
      <c r="A64" t="s">
        <v>195</v>
      </c>
      <c r="B64" t="s">
        <v>356</v>
      </c>
      <c r="C64">
        <v>41949054</v>
      </c>
      <c r="D64" t="s">
        <v>119</v>
      </c>
      <c r="E64" t="s">
        <v>195</v>
      </c>
      <c r="F64" s="1" t="s">
        <v>357</v>
      </c>
      <c r="G64" t="s">
        <v>358</v>
      </c>
      <c r="H64" t="s">
        <v>141</v>
      </c>
      <c r="I64" t="s">
        <v>359</v>
      </c>
      <c r="J64" t="s">
        <v>359</v>
      </c>
      <c r="K64" t="s">
        <v>360</v>
      </c>
      <c r="L64" s="7">
        <v>0.49</v>
      </c>
      <c r="M64" s="8">
        <v>43543</v>
      </c>
      <c r="N64">
        <v>3</v>
      </c>
      <c r="O64" t="s">
        <v>67</v>
      </c>
      <c r="P64">
        <v>2019</v>
      </c>
      <c r="Q64">
        <v>0.1239</v>
      </c>
      <c r="R64" s="10"/>
      <c r="S64" s="11">
        <f>ROUND(ТабБіо[[#This Row],[Зелений Тариф ЕЦ]]+ТабБіо[[#This Row],[Зелений Тариф ЕЦ]]*ТабБіо[[#This Row],[% надбавки]],4)</f>
        <v>0.1239</v>
      </c>
      <c r="T64" s="26"/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S64">
        <v>0</v>
      </c>
      <c r="AT64">
        <v>0</v>
      </c>
      <c r="AU64">
        <v>0</v>
      </c>
      <c r="AV64">
        <v>8.3000000000000004E-2</v>
      </c>
      <c r="AW64">
        <v>0.123</v>
      </c>
      <c r="AX64">
        <v>0.109</v>
      </c>
      <c r="AY64">
        <v>0.127</v>
      </c>
      <c r="AZ64">
        <v>0.152</v>
      </c>
    </row>
    <row r="65" spans="1:52">
      <c r="A65" t="s">
        <v>195</v>
      </c>
      <c r="C65" t="s">
        <v>58</v>
      </c>
      <c r="D65" t="s">
        <v>119</v>
      </c>
      <c r="E65" t="s">
        <v>195</v>
      </c>
      <c r="F65" s="1" t="s">
        <v>361</v>
      </c>
      <c r="H65" t="s">
        <v>198</v>
      </c>
      <c r="I65" t="s">
        <v>362</v>
      </c>
      <c r="J65" t="s">
        <v>363</v>
      </c>
      <c r="K65" t="s">
        <v>364</v>
      </c>
      <c r="L65" s="7">
        <v>3.2</v>
      </c>
      <c r="M65" s="8">
        <v>43676</v>
      </c>
      <c r="N65">
        <v>7</v>
      </c>
      <c r="O65" t="s">
        <v>60</v>
      </c>
      <c r="P65">
        <v>2019</v>
      </c>
      <c r="Q65">
        <v>0.1239</v>
      </c>
      <c r="R65" s="10">
        <v>0.1</v>
      </c>
      <c r="S65" s="11">
        <f>ROUND(ТабБіо[[#This Row],[Зелений Тариф ЕЦ]]+ТабБіо[[#This Row],[Зелений Тариф ЕЦ]]*ТабБіо[[#This Row],[% надбавки]],4)</f>
        <v>0.1363</v>
      </c>
      <c r="T65" s="26">
        <v>43697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>
      <c r="A66" t="s">
        <v>195</v>
      </c>
      <c r="C66" t="s">
        <v>58</v>
      </c>
      <c r="D66" t="s">
        <v>119</v>
      </c>
      <c r="E66" t="s">
        <v>195</v>
      </c>
      <c r="F66" s="1" t="s">
        <v>346</v>
      </c>
      <c r="G66" t="s">
        <v>365</v>
      </c>
      <c r="H66" t="s">
        <v>56</v>
      </c>
      <c r="I66" t="s">
        <v>348</v>
      </c>
      <c r="J66" t="s">
        <v>348</v>
      </c>
      <c r="K66" t="s">
        <v>366</v>
      </c>
      <c r="L66" s="7">
        <v>0.92200000000000004</v>
      </c>
      <c r="M66" s="8"/>
      <c r="N66">
        <v>8</v>
      </c>
      <c r="O66" t="s">
        <v>60</v>
      </c>
      <c r="P66">
        <v>2019</v>
      </c>
      <c r="Q66">
        <v>0.1239</v>
      </c>
      <c r="R66" s="10"/>
      <c r="S66" s="11">
        <f>ROUND(ТабБіо[[#This Row],[Зелений Тариф ЕЦ]]+ТабБіо[[#This Row],[Зелений Тариф ЕЦ]]*ТабБіо[[#This Row],[% надбавки]],4)</f>
        <v>0.1239</v>
      </c>
      <c r="T66" s="26"/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>
      <c r="A67" t="s">
        <v>195</v>
      </c>
      <c r="C67" t="s">
        <v>58</v>
      </c>
      <c r="D67" t="s">
        <v>119</v>
      </c>
      <c r="E67" t="s">
        <v>195</v>
      </c>
      <c r="F67" s="1" t="s">
        <v>367</v>
      </c>
      <c r="G67" t="s">
        <v>368</v>
      </c>
      <c r="H67" t="s">
        <v>122</v>
      </c>
      <c r="I67" t="s">
        <v>369</v>
      </c>
      <c r="K67" t="s">
        <v>370</v>
      </c>
      <c r="L67" s="7">
        <v>2.194</v>
      </c>
      <c r="M67" s="8">
        <v>43749</v>
      </c>
      <c r="N67">
        <v>10</v>
      </c>
      <c r="O67" t="s">
        <v>71</v>
      </c>
      <c r="P67">
        <v>2019</v>
      </c>
      <c r="Q67">
        <v>0.1239</v>
      </c>
      <c r="R67" s="10"/>
      <c r="S67" s="11">
        <f>ROUND(ТабБіо[[#This Row],[Зелений Тариф ЕЦ]]+ТабБіо[[#This Row],[Зелений Тариф ЕЦ]]*ТабБіо[[#This Row],[% надбавки]],4)</f>
        <v>0.1239</v>
      </c>
      <c r="T67" s="26"/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>
      <c r="A68" t="s">
        <v>195</v>
      </c>
      <c r="C68" t="s">
        <v>58</v>
      </c>
      <c r="D68" t="s">
        <v>119</v>
      </c>
      <c r="E68" t="s">
        <v>195</v>
      </c>
      <c r="F68" s="1" t="s">
        <v>371</v>
      </c>
      <c r="H68" t="s">
        <v>198</v>
      </c>
      <c r="K68" t="s">
        <v>372</v>
      </c>
      <c r="L68" s="7">
        <v>12</v>
      </c>
      <c r="M68" s="8">
        <v>43813</v>
      </c>
      <c r="N68">
        <v>12</v>
      </c>
      <c r="O68" t="s">
        <v>71</v>
      </c>
      <c r="P68">
        <v>2019</v>
      </c>
      <c r="Q68">
        <v>0.1239</v>
      </c>
      <c r="R68" s="10"/>
      <c r="S68" s="11">
        <f>ROUND(ТабБіо[[#This Row],[Зелений Тариф ЕЦ]]+ТабБіо[[#This Row],[Зелений Тариф ЕЦ]]*ТабБіо[[#This Row],[% надбавки]],4)</f>
        <v>0.1239</v>
      </c>
      <c r="T68" s="26"/>
    </row>
    <row r="69" spans="1:52">
      <c r="A69" t="s">
        <v>195</v>
      </c>
      <c r="C69" t="s">
        <v>58</v>
      </c>
      <c r="D69" t="s">
        <v>119</v>
      </c>
      <c r="E69" t="s">
        <v>195</v>
      </c>
      <c r="F69" s="1" t="s">
        <v>373</v>
      </c>
      <c r="H69" t="s">
        <v>321</v>
      </c>
      <c r="I69" t="s">
        <v>374</v>
      </c>
      <c r="J69" t="s">
        <v>375</v>
      </c>
      <c r="K69" t="s">
        <v>376</v>
      </c>
      <c r="L69" s="7">
        <v>0.52700000000000002</v>
      </c>
      <c r="M69" s="8">
        <v>43819</v>
      </c>
      <c r="N69">
        <v>12</v>
      </c>
      <c r="O69" t="s">
        <v>71</v>
      </c>
      <c r="P69">
        <v>2019</v>
      </c>
      <c r="Q69">
        <v>0.1239</v>
      </c>
      <c r="R69" s="10"/>
      <c r="S69" s="11">
        <f>ROUND(ТабБіо[[#This Row],[Зелений Тариф ЕЦ]]+ТабБіо[[#This Row],[Зелений Тариф ЕЦ]]*ТабБіо[[#This Row],[% надбавки]],4)</f>
        <v>0.1239</v>
      </c>
      <c r="T69" s="26"/>
    </row>
    <row r="70" spans="1:52">
      <c r="A70" t="s">
        <v>195</v>
      </c>
      <c r="C70" t="s">
        <v>58</v>
      </c>
      <c r="D70" t="s">
        <v>119</v>
      </c>
      <c r="E70" t="s">
        <v>195</v>
      </c>
      <c r="F70" s="1" t="s">
        <v>377</v>
      </c>
      <c r="H70" t="s">
        <v>101</v>
      </c>
      <c r="K70" t="s">
        <v>378</v>
      </c>
      <c r="L70" s="7">
        <v>3.5089999999999999</v>
      </c>
      <c r="M70" s="8">
        <v>43924</v>
      </c>
      <c r="P70">
        <v>2020</v>
      </c>
      <c r="Q70">
        <v>0.1239</v>
      </c>
      <c r="R70" s="10"/>
      <c r="S70" s="11">
        <f>ROUND(ТабБіо[[#This Row],[Зелений Тариф ЕЦ]]+ТабБіо[[#This Row],[Зелений Тариф ЕЦ]]*ТабБіо[[#This Row],[% надбавки]],4)</f>
        <v>0.1239</v>
      </c>
      <c r="T70" s="26"/>
    </row>
    <row r="71" spans="1:52" ht="25.5">
      <c r="A71" t="s">
        <v>195</v>
      </c>
      <c r="C71" t="s">
        <v>58</v>
      </c>
      <c r="D71" t="s">
        <v>119</v>
      </c>
      <c r="E71" t="s">
        <v>195</v>
      </c>
      <c r="F71" s="1" t="s">
        <v>379</v>
      </c>
      <c r="G71" t="s">
        <v>380</v>
      </c>
      <c r="H71" t="s">
        <v>172</v>
      </c>
      <c r="I71" t="s">
        <v>173</v>
      </c>
      <c r="J71" t="s">
        <v>173</v>
      </c>
      <c r="K71" s="1" t="s">
        <v>381</v>
      </c>
      <c r="L71" s="22">
        <v>0.22</v>
      </c>
      <c r="M71" s="8">
        <v>43936</v>
      </c>
      <c r="P71">
        <v>2020</v>
      </c>
      <c r="R71" s="10"/>
      <c r="S71" s="11">
        <f>ROUND(ТабБіо[[#This Row],[Зелений Тариф ЕЦ]]+ТабБіо[[#This Row],[Зелений Тариф ЕЦ]]*ТабБіо[[#This Row],[% надбавки]],4)</f>
        <v>0</v>
      </c>
      <c r="T71" s="26"/>
    </row>
  </sheetData>
  <conditionalFormatting sqref="R4:R18 T4:T18 T21:T71 R21:R71">
    <cfRule type="cellIs" dxfId="17" priority="2" operator="greaterThan">
      <formula>0</formula>
    </cfRule>
  </conditionalFormatting>
  <conditionalFormatting sqref="T19:T20 R19:R20">
    <cfRule type="cellIs" dxfId="16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2:BD1027"/>
  <sheetViews>
    <sheetView topLeftCell="A974" zoomScale="55" zoomScaleNormal="55" workbookViewId="0">
      <selection activeCell="B4" sqref="B4:BD1022"/>
    </sheetView>
  </sheetViews>
  <sheetFormatPr defaultRowHeight="12.75"/>
  <cols>
    <col min="1" max="1" width="12.5703125" customWidth="1"/>
    <col min="2" max="2" width="12.28515625" customWidth="1"/>
    <col min="3" max="3" width="14.7109375" customWidth="1"/>
    <col min="6" max="6" width="53.140625" style="1" customWidth="1"/>
    <col min="7" max="7" width="33.140625" style="1" customWidth="1"/>
    <col min="8" max="8" width="17.5703125" customWidth="1"/>
    <col min="9" max="9" width="17.28515625" hidden="1" customWidth="1"/>
    <col min="10" max="10" width="18.7109375" hidden="1" customWidth="1"/>
    <col min="11" max="11" width="11.5703125" customWidth="1"/>
    <col min="12" max="12" width="17.85546875" customWidth="1"/>
    <col min="13" max="13" width="19" customWidth="1"/>
    <col min="14" max="14" width="9.5703125" customWidth="1"/>
    <col min="15" max="15" width="10.7109375" customWidth="1"/>
    <col min="17" max="17" width="20.7109375" customWidth="1"/>
    <col min="18" max="18" width="13.7109375" customWidth="1"/>
    <col min="19" max="19" width="19.7109375" customWidth="1"/>
    <col min="20" max="20" width="18.7109375" customWidth="1"/>
    <col min="22" max="23" width="9.28515625" customWidth="1"/>
    <col min="25" max="25" width="9" customWidth="1"/>
    <col min="26" max="29" width="9.28515625" customWidth="1"/>
    <col min="30" max="30" width="9.7109375" customWidth="1"/>
    <col min="31" max="31" width="9.28515625" customWidth="1"/>
    <col min="34" max="35" width="9.28515625" customWidth="1"/>
    <col min="37" max="37" width="9" customWidth="1"/>
    <col min="38" max="41" width="9.28515625" customWidth="1"/>
    <col min="42" max="42" width="9.7109375" customWidth="1"/>
    <col min="43" max="43" width="9.28515625" customWidth="1"/>
    <col min="46" max="47" width="9.28515625" customWidth="1"/>
    <col min="49" max="49" width="9" customWidth="1"/>
    <col min="50" max="53" width="9.28515625" customWidth="1"/>
    <col min="54" max="54" width="9.7109375" customWidth="1"/>
    <col min="55" max="55" width="9.28515625" customWidth="1"/>
  </cols>
  <sheetData>
    <row r="2" spans="1:56" ht="13.5" thickBot="1"/>
    <row r="3" spans="1:56" ht="45" customHeight="1" thickBot="1">
      <c r="A3" t="s">
        <v>382</v>
      </c>
      <c r="B3" t="s">
        <v>0</v>
      </c>
      <c r="C3" t="s">
        <v>1</v>
      </c>
      <c r="D3" t="s">
        <v>2</v>
      </c>
      <c r="E3" t="s">
        <v>3244</v>
      </c>
      <c r="F3" s="1" t="s">
        <v>3</v>
      </c>
      <c r="G3" s="1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4" t="s">
        <v>10</v>
      </c>
      <c r="N3" s="27" t="s">
        <v>11</v>
      </c>
      <c r="O3" s="27" t="s">
        <v>12</v>
      </c>
      <c r="P3" s="28" t="s">
        <v>13</v>
      </c>
      <c r="Q3" t="s">
        <v>14</v>
      </c>
      <c r="R3" t="s">
        <v>15</v>
      </c>
      <c r="S3" t="s">
        <v>16</v>
      </c>
      <c r="T3" s="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</row>
    <row r="4" spans="1:56">
      <c r="B4" t="s">
        <v>383</v>
      </c>
      <c r="C4">
        <v>31095113</v>
      </c>
      <c r="D4" t="s">
        <v>384</v>
      </c>
      <c r="F4" s="1" t="s">
        <v>385</v>
      </c>
      <c r="G4" s="1" t="s">
        <v>384</v>
      </c>
      <c r="H4" t="s">
        <v>136</v>
      </c>
      <c r="I4" t="s">
        <v>386</v>
      </c>
      <c r="J4" t="s">
        <v>387</v>
      </c>
      <c r="K4" t="s">
        <v>387</v>
      </c>
      <c r="L4" s="7">
        <v>3.0779999999999998</v>
      </c>
      <c r="M4" s="8">
        <v>42684</v>
      </c>
      <c r="N4">
        <v>11</v>
      </c>
      <c r="O4" t="s">
        <v>71</v>
      </c>
      <c r="P4">
        <v>2016</v>
      </c>
      <c r="Q4">
        <v>0.15989999999999999</v>
      </c>
      <c r="R4" s="10"/>
      <c r="S4">
        <f>ROUND(ТабCЕС[[#This Row],[Зелений Тариф ЕЦ]]+ТабCЕС[[#This Row],[Зелений Тариф ЕЦ]]*ТабCЕС[[#This Row],[% надбавки]],4)</f>
        <v>0.15989999999999999</v>
      </c>
      <c r="T4" s="8"/>
      <c r="U4">
        <v>0</v>
      </c>
      <c r="V4">
        <v>0</v>
      </c>
      <c r="W4">
        <v>0</v>
      </c>
      <c r="X4">
        <v>0</v>
      </c>
      <c r="Y4">
        <v>0</v>
      </c>
      <c r="Z4">
        <v>0.47399999999999998</v>
      </c>
      <c r="AA4">
        <v>0.51300000000000001</v>
      </c>
      <c r="AB4">
        <v>0.44200000000000006</v>
      </c>
      <c r="AC4">
        <v>0.39700000000000002</v>
      </c>
      <c r="AD4">
        <v>0.16999999999999993</v>
      </c>
      <c r="AE4">
        <v>3.5000000000000142E-2</v>
      </c>
      <c r="AF4">
        <v>4.0000000000000036E-2</v>
      </c>
      <c r="AG4">
        <v>0.04</v>
      </c>
      <c r="AH4">
        <v>0.121</v>
      </c>
      <c r="AI4">
        <v>0.246</v>
      </c>
      <c r="AJ4">
        <v>0.442</v>
      </c>
      <c r="AK4">
        <v>0.52400000000000002</v>
      </c>
      <c r="AL4">
        <v>0.51</v>
      </c>
      <c r="AM4">
        <v>0.47899999999999998</v>
      </c>
      <c r="AN4">
        <v>0.55400000000000005</v>
      </c>
      <c r="AO4">
        <v>0.31</v>
      </c>
      <c r="AP4">
        <v>0.309</v>
      </c>
      <c r="AQ4">
        <v>0.10199999999999999</v>
      </c>
      <c r="AR4">
        <v>2.7E-2</v>
      </c>
      <c r="AS4">
        <v>2.5000000000000001E-2</v>
      </c>
      <c r="AT4">
        <v>0.16500000000000001</v>
      </c>
      <c r="AU4">
        <v>0.32700000000000001</v>
      </c>
      <c r="AV4">
        <v>0.43099999999999999</v>
      </c>
      <c r="AW4">
        <v>0.44500000000000001</v>
      </c>
      <c r="AX4">
        <v>0.50800000000000001</v>
      </c>
      <c r="AY4">
        <v>0.53100000000000003</v>
      </c>
      <c r="AZ4">
        <v>0.50800000000000001</v>
      </c>
    </row>
    <row r="5" spans="1:56">
      <c r="C5" t="s">
        <v>58</v>
      </c>
      <c r="D5" t="s">
        <v>384</v>
      </c>
      <c r="F5" s="1" t="s">
        <v>388</v>
      </c>
      <c r="G5" s="1" t="s">
        <v>389</v>
      </c>
      <c r="H5" t="s">
        <v>136</v>
      </c>
      <c r="I5" t="s">
        <v>386</v>
      </c>
      <c r="K5" t="s">
        <v>390</v>
      </c>
      <c r="L5" s="7">
        <v>1.0449999999999999</v>
      </c>
      <c r="M5" s="8">
        <v>43277</v>
      </c>
      <c r="N5">
        <v>6</v>
      </c>
      <c r="O5" t="s">
        <v>57</v>
      </c>
      <c r="P5">
        <v>2018</v>
      </c>
      <c r="Q5">
        <v>0.15029999999999999</v>
      </c>
      <c r="R5" s="10"/>
      <c r="S5">
        <f>ROUND(ТабCЕС[[#This Row],[Зелений Тариф ЕЦ]]+ТабCЕС[[#This Row],[Зелений Тариф ЕЦ]]*ТабCЕС[[#This Row],[% надбавки]],4)</f>
        <v>0.15029999999999999</v>
      </c>
      <c r="T5" s="8"/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0.19400000000000001</v>
      </c>
      <c r="AL5">
        <v>0.16300000000000001</v>
      </c>
      <c r="AM5">
        <v>0.125</v>
      </c>
      <c r="AN5">
        <v>0.17599999999999999</v>
      </c>
      <c r="AO5">
        <v>0.115</v>
      </c>
      <c r="AP5">
        <v>0.109</v>
      </c>
      <c r="AQ5">
        <v>3.9E-2</v>
      </c>
      <c r="AR5">
        <v>1.2E-2</v>
      </c>
      <c r="AS5">
        <v>3.6999999999999998E-2</v>
      </c>
      <c r="AT5">
        <v>5.3999999999999999E-2</v>
      </c>
      <c r="AU5">
        <v>0.11799999999999999</v>
      </c>
      <c r="AV5">
        <v>0.153</v>
      </c>
      <c r="AW5">
        <v>0.152</v>
      </c>
      <c r="AX5">
        <v>0.18099999999999999</v>
      </c>
      <c r="AY5">
        <v>0.17599999999999999</v>
      </c>
      <c r="AZ5">
        <v>0.17100000000000001</v>
      </c>
    </row>
    <row r="6" spans="1:56">
      <c r="C6" t="s">
        <v>58</v>
      </c>
      <c r="D6" t="s">
        <v>384</v>
      </c>
      <c r="F6" s="1" t="s">
        <v>391</v>
      </c>
      <c r="G6" s="1" t="s">
        <v>384</v>
      </c>
      <c r="H6" t="s">
        <v>101</v>
      </c>
      <c r="I6" t="s">
        <v>392</v>
      </c>
      <c r="J6" t="s">
        <v>392</v>
      </c>
      <c r="K6" t="s">
        <v>393</v>
      </c>
      <c r="L6" s="7">
        <v>8.8390000000000004</v>
      </c>
      <c r="M6" s="8">
        <v>43144</v>
      </c>
      <c r="N6">
        <v>2</v>
      </c>
      <c r="O6" t="s">
        <v>67</v>
      </c>
      <c r="P6">
        <v>2018</v>
      </c>
      <c r="Q6">
        <v>0.15029999999999999</v>
      </c>
      <c r="R6" s="10"/>
      <c r="S6">
        <f>ROUND(ТабCЕС[[#This Row],[Зелений Тариф ЕЦ]]+ТабCЕС[[#This Row],[Зелений Тариф ЕЦ]]*ТабCЕС[[#This Row],[% надбавки]],4)</f>
        <v>0.15029999999999999</v>
      </c>
      <c r="T6" s="8"/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0.70599999999999996</v>
      </c>
      <c r="AJ6">
        <v>1.458</v>
      </c>
      <c r="AK6">
        <v>1.5109999999999999</v>
      </c>
      <c r="AL6">
        <v>1.431</v>
      </c>
      <c r="AM6">
        <v>1.3320000000000001</v>
      </c>
      <c r="AN6">
        <v>1.33</v>
      </c>
      <c r="AO6">
        <v>0.95399999999999996</v>
      </c>
      <c r="AP6">
        <v>1.05</v>
      </c>
      <c r="AQ6">
        <v>0.33300000000000002</v>
      </c>
      <c r="AR6">
        <v>0.22700000000000001</v>
      </c>
      <c r="AS6">
        <v>0.31900000000000001</v>
      </c>
      <c r="AT6">
        <v>0.52400000000000002</v>
      </c>
      <c r="AU6">
        <v>1.2050000000000001</v>
      </c>
      <c r="AV6">
        <v>1.22</v>
      </c>
      <c r="AW6">
        <v>1.365</v>
      </c>
      <c r="AX6">
        <v>1.419</v>
      </c>
      <c r="AY6">
        <v>1.4550000000000001</v>
      </c>
      <c r="AZ6">
        <v>1.45</v>
      </c>
    </row>
    <row r="7" spans="1:56">
      <c r="C7" t="s">
        <v>58</v>
      </c>
      <c r="D7" t="s">
        <v>384</v>
      </c>
      <c r="F7" s="1" t="s">
        <v>394</v>
      </c>
      <c r="G7" s="1" t="s">
        <v>395</v>
      </c>
      <c r="H7" t="s">
        <v>69</v>
      </c>
      <c r="I7" t="s">
        <v>396</v>
      </c>
      <c r="K7" t="s">
        <v>397</v>
      </c>
      <c r="L7" s="7">
        <v>0.999</v>
      </c>
      <c r="M7" s="8">
        <v>43434</v>
      </c>
      <c r="N7">
        <v>11</v>
      </c>
      <c r="O7" t="s">
        <v>71</v>
      </c>
      <c r="P7">
        <v>2018</v>
      </c>
      <c r="Q7">
        <v>0.15029999999999999</v>
      </c>
      <c r="R7" s="10"/>
      <c r="S7">
        <f>ROUND(ТабCЕС[[#This Row],[Зелений Тариф ЕЦ]]+ТабCЕС[[#This Row],[Зелений Тариф ЕЦ]]*ТабCЕС[[#This Row],[% надбавки]],4)</f>
        <v>0.15029999999999999</v>
      </c>
      <c r="T7" s="8"/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6">
      <c r="B8" t="s">
        <v>398</v>
      </c>
      <c r="C8">
        <v>37493365</v>
      </c>
      <c r="D8" t="s">
        <v>384</v>
      </c>
      <c r="F8" s="1" t="s">
        <v>399</v>
      </c>
      <c r="G8" s="1" t="s">
        <v>400</v>
      </c>
      <c r="H8" t="s">
        <v>233</v>
      </c>
      <c r="I8" t="s">
        <v>289</v>
      </c>
      <c r="K8" t="s">
        <v>401</v>
      </c>
      <c r="L8" s="7">
        <v>2.903</v>
      </c>
      <c r="M8" s="8">
        <v>41557</v>
      </c>
      <c r="N8">
        <v>10</v>
      </c>
      <c r="O8" t="s">
        <v>71</v>
      </c>
      <c r="P8">
        <v>2013</v>
      </c>
      <c r="Q8">
        <v>0.46529999999999999</v>
      </c>
      <c r="R8" s="10"/>
      <c r="S8">
        <f>ROUND(ТабCЕС[[#This Row],[Зелений Тариф ЕЦ]]+ТабCЕС[[#This Row],[Зелений Тариф ЕЦ]]*ТабCЕС[[#This Row],[% надбавки]],4)</f>
        <v>0.46529999999999999</v>
      </c>
      <c r="T8" s="8"/>
      <c r="U8">
        <v>2.1000000000000001E-2</v>
      </c>
      <c r="V8">
        <v>9.799999999999999E-2</v>
      </c>
      <c r="W8">
        <v>0.28700000000000003</v>
      </c>
      <c r="X8">
        <v>0.26900000000000002</v>
      </c>
      <c r="Y8">
        <v>0.43199999999999994</v>
      </c>
      <c r="Z8">
        <v>0.43300000000000005</v>
      </c>
      <c r="AA8">
        <v>0.39399999999999991</v>
      </c>
      <c r="AB8">
        <v>0.46400000000000019</v>
      </c>
      <c r="AC8">
        <v>0.29999999999999982</v>
      </c>
      <c r="AD8">
        <v>0.2280000000000002</v>
      </c>
      <c r="AE8">
        <v>0.125</v>
      </c>
      <c r="AF8">
        <v>3.2000000000000028E-2</v>
      </c>
      <c r="AG8">
        <v>8.7999999999999995E-2</v>
      </c>
      <c r="AH8">
        <v>0.157</v>
      </c>
      <c r="AI8">
        <v>0.20499999999999999</v>
      </c>
      <c r="AJ8">
        <v>0.39800000000000002</v>
      </c>
      <c r="AK8">
        <v>0.47</v>
      </c>
      <c r="AL8">
        <v>0.40200000000000002</v>
      </c>
      <c r="AM8">
        <v>0.41799999999999998</v>
      </c>
      <c r="AN8">
        <v>0.46400000000000002</v>
      </c>
      <c r="AO8">
        <v>0.34399999999999997</v>
      </c>
      <c r="AP8">
        <v>0.26200000000000001</v>
      </c>
      <c r="AQ8">
        <v>0.16</v>
      </c>
      <c r="AR8">
        <v>4.4999999999999998E-2</v>
      </c>
      <c r="AS8">
        <v>1.6E-2</v>
      </c>
      <c r="AT8">
        <v>0.191</v>
      </c>
      <c r="AU8">
        <v>0.316</v>
      </c>
      <c r="AV8">
        <v>0.40799999999999997</v>
      </c>
      <c r="AW8">
        <v>0.30499999999999999</v>
      </c>
      <c r="AX8">
        <v>0.46</v>
      </c>
      <c r="AY8">
        <v>0.43099999999999999</v>
      </c>
      <c r="AZ8">
        <v>0.42899999999999999</v>
      </c>
    </row>
    <row r="9" spans="1:56">
      <c r="B9" t="s">
        <v>402</v>
      </c>
      <c r="C9">
        <v>37493365</v>
      </c>
      <c r="D9" t="s">
        <v>384</v>
      </c>
      <c r="F9" s="1" t="s">
        <v>399</v>
      </c>
      <c r="G9" s="1" t="s">
        <v>403</v>
      </c>
      <c r="H9" t="s">
        <v>233</v>
      </c>
      <c r="I9" t="s">
        <v>404</v>
      </c>
      <c r="J9" t="s">
        <v>405</v>
      </c>
      <c r="K9" t="s">
        <v>406</v>
      </c>
      <c r="L9" s="7">
        <v>5.7750000000000004</v>
      </c>
      <c r="M9" s="8">
        <v>43455</v>
      </c>
      <c r="N9">
        <v>12</v>
      </c>
      <c r="O9" t="s">
        <v>71</v>
      </c>
      <c r="P9">
        <v>2018</v>
      </c>
      <c r="Q9">
        <v>0.15029999999999999</v>
      </c>
      <c r="R9" s="10"/>
      <c r="S9">
        <f>ROUND(ТабCЕС[[#This Row],[Зелений Тариф ЕЦ]]+ТабCЕС[[#This Row],[Зелений Тариф ЕЦ]]*ТабCЕС[[#This Row],[% надбавки]],4)</f>
        <v>0.15029999999999999</v>
      </c>
      <c r="T9" s="8"/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8.1000000000000003E-2</v>
      </c>
      <c r="AS9">
        <v>7.2999999999999995E-2</v>
      </c>
      <c r="AT9">
        <v>0.38400000000000001</v>
      </c>
      <c r="AU9">
        <v>0.65</v>
      </c>
      <c r="AV9">
        <v>0.51600000000000001</v>
      </c>
      <c r="AW9">
        <v>0.56499999999999995</v>
      </c>
      <c r="AX9">
        <v>1.008</v>
      </c>
      <c r="AY9">
        <v>0.93899999999999995</v>
      </c>
      <c r="AZ9">
        <v>0.89800000000000002</v>
      </c>
    </row>
    <row r="10" spans="1:56">
      <c r="C10" t="s">
        <v>58</v>
      </c>
      <c r="D10" t="s">
        <v>384</v>
      </c>
      <c r="F10" s="1" t="s">
        <v>407</v>
      </c>
      <c r="G10" s="1" t="s">
        <v>408</v>
      </c>
      <c r="H10" t="s">
        <v>122</v>
      </c>
      <c r="I10" t="s">
        <v>369</v>
      </c>
      <c r="K10" t="s">
        <v>409</v>
      </c>
      <c r="L10" s="7">
        <v>1.1339999999999999</v>
      </c>
      <c r="M10" s="8">
        <v>43333</v>
      </c>
      <c r="N10">
        <v>8</v>
      </c>
      <c r="O10" t="s">
        <v>60</v>
      </c>
      <c r="P10">
        <v>2018</v>
      </c>
      <c r="Q10">
        <v>0.15029999999999999</v>
      </c>
      <c r="R10" s="10"/>
      <c r="S10">
        <f>ROUND(ТабCЕС[[#This Row],[Зелений Тариф ЕЦ]]+ТабCЕС[[#This Row],[Зелений Тариф ЕЦ]]*ТабCЕС[[#This Row],[% надбавки]],4)</f>
        <v>0.15029999999999999</v>
      </c>
      <c r="T10" s="8"/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0.128</v>
      </c>
      <c r="AP10">
        <v>0.121</v>
      </c>
      <c r="AQ10">
        <v>4.8000000000000001E-2</v>
      </c>
      <c r="AR10">
        <v>0.01</v>
      </c>
      <c r="AS10">
        <v>0.01</v>
      </c>
      <c r="AT10">
        <v>5.2999999999999999E-2</v>
      </c>
      <c r="AU10">
        <v>0.121</v>
      </c>
      <c r="AV10">
        <v>0.16500000000000001</v>
      </c>
      <c r="AW10">
        <v>0.161</v>
      </c>
      <c r="AX10">
        <v>0.188</v>
      </c>
      <c r="AY10">
        <v>0.19600000000000001</v>
      </c>
      <c r="AZ10">
        <v>0.17799999999999999</v>
      </c>
    </row>
    <row r="11" spans="1:56">
      <c r="C11" t="s">
        <v>58</v>
      </c>
      <c r="D11" t="s">
        <v>384</v>
      </c>
      <c r="F11" s="1" t="s">
        <v>407</v>
      </c>
      <c r="G11" s="1" t="s">
        <v>410</v>
      </c>
      <c r="H11" t="s">
        <v>122</v>
      </c>
      <c r="I11" t="s">
        <v>369</v>
      </c>
      <c r="K11" t="s">
        <v>411</v>
      </c>
      <c r="L11" s="7">
        <v>1.17</v>
      </c>
      <c r="M11" s="8">
        <v>43543</v>
      </c>
      <c r="N11">
        <v>3</v>
      </c>
      <c r="O11" t="s">
        <v>67</v>
      </c>
      <c r="P11">
        <v>2019</v>
      </c>
      <c r="Q11">
        <v>0.15029999999999999</v>
      </c>
      <c r="R11" s="10"/>
      <c r="S11">
        <f>ROUND(ТабCЕС[[#This Row],[Зелений Тариф ЕЦ]]+ТабCЕС[[#This Row],[Зелений Тариф ЕЦ]]*ТабCЕС[[#This Row],[% надбавки]],4)</f>
        <v>0.15029999999999999</v>
      </c>
      <c r="T11" s="8"/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0.16700000000000001</v>
      </c>
      <c r="AW11">
        <v>0.17199999999999999</v>
      </c>
      <c r="AX11">
        <v>0.2</v>
      </c>
      <c r="AY11">
        <v>0.20200000000000001</v>
      </c>
      <c r="AZ11">
        <v>0.182</v>
      </c>
    </row>
    <row r="12" spans="1:56">
      <c r="B12" t="s">
        <v>412</v>
      </c>
      <c r="C12">
        <v>37729295</v>
      </c>
      <c r="D12" t="s">
        <v>384</v>
      </c>
      <c r="F12" s="1" t="s">
        <v>413</v>
      </c>
      <c r="G12" s="1" t="s">
        <v>384</v>
      </c>
      <c r="H12" t="s">
        <v>198</v>
      </c>
      <c r="J12" t="s">
        <v>414</v>
      </c>
      <c r="K12" t="s">
        <v>415</v>
      </c>
      <c r="L12" s="7">
        <v>1.623</v>
      </c>
      <c r="M12" s="8">
        <v>41061</v>
      </c>
      <c r="N12">
        <v>6</v>
      </c>
      <c r="O12" t="s">
        <v>57</v>
      </c>
      <c r="P12">
        <v>2012</v>
      </c>
      <c r="Q12">
        <v>0.46529999999999999</v>
      </c>
      <c r="R12" s="10"/>
      <c r="S12">
        <f>ROUND(ТабCЕС[[#This Row],[Зелений Тариф ЕЦ]]+ТабCЕС[[#This Row],[Зелений Тариф ЕЦ]]*ТабCЕС[[#This Row],[% надбавки]],4)</f>
        <v>0.46529999999999999</v>
      </c>
      <c r="T12" s="8"/>
      <c r="U12">
        <v>4.2000000000000003E-2</v>
      </c>
      <c r="V12">
        <v>8.0999999999999989E-2</v>
      </c>
      <c r="W12">
        <v>0.14300000000000002</v>
      </c>
      <c r="X12">
        <v>0.20399999999999996</v>
      </c>
      <c r="Y12">
        <v>0.248</v>
      </c>
      <c r="Z12">
        <v>0.26300000000000001</v>
      </c>
      <c r="AA12">
        <v>0.26400000000000012</v>
      </c>
      <c r="AB12">
        <v>0.24099999999999988</v>
      </c>
      <c r="AC12">
        <v>0.18300000000000005</v>
      </c>
      <c r="AD12">
        <v>8.3999999999999853E-2</v>
      </c>
      <c r="AE12">
        <v>3.8000000000000034E-2</v>
      </c>
      <c r="AF12">
        <v>2.3000000000000131E-2</v>
      </c>
      <c r="AG12">
        <v>2.8000000000000001E-2</v>
      </c>
      <c r="AH12">
        <v>5.8999999999999997E-2</v>
      </c>
      <c r="AI12">
        <v>0.115</v>
      </c>
      <c r="AJ12">
        <v>0.23400000000000001</v>
      </c>
      <c r="AK12">
        <v>0.27600000000000002</v>
      </c>
      <c r="AL12">
        <v>0.24099999999999999</v>
      </c>
      <c r="AM12">
        <v>0.23100000000000001</v>
      </c>
      <c r="AN12">
        <v>0.27200000000000002</v>
      </c>
      <c r="AO12">
        <v>0.16700000000000001</v>
      </c>
      <c r="AP12">
        <v>0.14599999999999999</v>
      </c>
      <c r="AQ12">
        <v>3.5999999999999997E-2</v>
      </c>
      <c r="AR12">
        <v>1.7000000000000001E-2</v>
      </c>
      <c r="AS12">
        <v>1.6E-2</v>
      </c>
      <c r="AT12">
        <v>6.5000000000000002E-2</v>
      </c>
      <c r="AU12">
        <v>0.13600000000000001</v>
      </c>
      <c r="AV12">
        <v>0.18099999999999999</v>
      </c>
      <c r="AW12">
        <v>0.21</v>
      </c>
      <c r="AX12">
        <v>0.26800000000000002</v>
      </c>
      <c r="AY12">
        <v>0.23699999999999999</v>
      </c>
      <c r="AZ12">
        <v>0.246</v>
      </c>
    </row>
    <row r="13" spans="1:56">
      <c r="C13" t="s">
        <v>58</v>
      </c>
      <c r="D13" t="s">
        <v>384</v>
      </c>
      <c r="F13" s="1" t="s">
        <v>416</v>
      </c>
      <c r="G13" s="1" t="s">
        <v>384</v>
      </c>
      <c r="H13" t="s">
        <v>98</v>
      </c>
      <c r="I13" t="s">
        <v>417</v>
      </c>
      <c r="J13" t="s">
        <v>418</v>
      </c>
      <c r="K13" t="s">
        <v>418</v>
      </c>
      <c r="L13" s="7">
        <v>5.7679999999999998</v>
      </c>
      <c r="M13" s="8">
        <v>43403</v>
      </c>
      <c r="N13">
        <v>10</v>
      </c>
      <c r="O13" t="s">
        <v>71</v>
      </c>
      <c r="P13">
        <v>2018</v>
      </c>
      <c r="Q13">
        <v>0.15029999999999999</v>
      </c>
      <c r="R13" s="10"/>
      <c r="S13">
        <f>ROUND(ТабCЕС[[#This Row],[Зелений Тариф ЕЦ]]+ТабCЕС[[#This Row],[Зелений Тариф ЕЦ]]*ТабCЕС[[#This Row],[% надбавки]],4)</f>
        <v>0.15029999999999999</v>
      </c>
      <c r="T13" s="8"/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4.8000000000000001E-2</v>
      </c>
      <c r="AS13">
        <v>9.2999999999999999E-2</v>
      </c>
      <c r="AT13">
        <v>0.35899999999999999</v>
      </c>
      <c r="AU13">
        <v>0.56699999999999995</v>
      </c>
      <c r="AV13">
        <v>0.73099999999999998</v>
      </c>
      <c r="AW13">
        <v>0.61699999999999999</v>
      </c>
      <c r="AX13">
        <v>0.90900000000000003</v>
      </c>
      <c r="AY13">
        <v>0.88700000000000001</v>
      </c>
      <c r="AZ13">
        <v>0.86699999999999999</v>
      </c>
    </row>
    <row r="14" spans="1:56">
      <c r="C14" t="s">
        <v>58</v>
      </c>
      <c r="D14" t="s">
        <v>384</v>
      </c>
      <c r="F14" s="1" t="s">
        <v>419</v>
      </c>
      <c r="G14" s="1" t="s">
        <v>384</v>
      </c>
      <c r="H14" t="s">
        <v>185</v>
      </c>
      <c r="I14" t="s">
        <v>253</v>
      </c>
      <c r="J14" t="s">
        <v>420</v>
      </c>
      <c r="K14" t="s">
        <v>421</v>
      </c>
      <c r="L14" s="7">
        <v>3.88</v>
      </c>
      <c r="M14" s="8">
        <v>43543</v>
      </c>
      <c r="N14">
        <v>3</v>
      </c>
      <c r="O14" t="s">
        <v>67</v>
      </c>
      <c r="P14">
        <v>2019</v>
      </c>
      <c r="Q14">
        <v>0.15029999999999999</v>
      </c>
      <c r="R14" s="10"/>
      <c r="S14">
        <f>ROUND(ТабCЕС[[#This Row],[Зелений Тариф ЕЦ]]+ТабCЕС[[#This Row],[Зелений Тариф ЕЦ]]*ТабCЕС[[#This Row],[% надбавки]],4)</f>
        <v>0.15029999999999999</v>
      </c>
      <c r="T14" s="8"/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0.629</v>
      </c>
      <c r="AW14">
        <v>0.68600000000000005</v>
      </c>
      <c r="AX14">
        <v>0.746</v>
      </c>
      <c r="AY14">
        <v>0.75</v>
      </c>
      <c r="AZ14">
        <v>0.69699999999999995</v>
      </c>
    </row>
    <row r="15" spans="1:56" ht="25.5">
      <c r="C15" t="s">
        <v>58</v>
      </c>
      <c r="D15" t="s">
        <v>384</v>
      </c>
      <c r="F15" s="1" t="s">
        <v>422</v>
      </c>
      <c r="G15" s="1" t="s">
        <v>423</v>
      </c>
      <c r="H15" t="s">
        <v>65</v>
      </c>
      <c r="I15" t="s">
        <v>424</v>
      </c>
      <c r="J15" t="s">
        <v>425</v>
      </c>
      <c r="K15" t="s">
        <v>426</v>
      </c>
      <c r="L15" s="7">
        <v>2.3319999999999999</v>
      </c>
      <c r="M15" s="8">
        <v>43613</v>
      </c>
      <c r="N15">
        <v>5</v>
      </c>
      <c r="O15" t="s">
        <v>57</v>
      </c>
      <c r="P15">
        <v>2019</v>
      </c>
      <c r="Q15">
        <v>0.15029999999999999</v>
      </c>
      <c r="R15" s="10"/>
      <c r="S15">
        <f>ROUND(ТабCЕС[[#This Row],[Зелений Тариф ЕЦ]]+ТабCЕС[[#This Row],[Зелений Тариф ЕЦ]]*ТабCЕС[[#This Row],[% надбавки]],4)</f>
        <v>0.15029999999999999</v>
      </c>
      <c r="T15" s="8"/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0.34799999999999998</v>
      </c>
      <c r="AY15">
        <v>0.36799999999999999</v>
      </c>
      <c r="AZ15">
        <v>0.35199999999999998</v>
      </c>
    </row>
    <row r="16" spans="1:56">
      <c r="C16" t="s">
        <v>58</v>
      </c>
      <c r="D16" t="s">
        <v>384</v>
      </c>
      <c r="F16" s="1" t="s">
        <v>427</v>
      </c>
      <c r="G16" s="1" t="s">
        <v>428</v>
      </c>
      <c r="H16" t="s">
        <v>172</v>
      </c>
      <c r="I16" t="s">
        <v>429</v>
      </c>
      <c r="J16" t="s">
        <v>430</v>
      </c>
      <c r="K16" t="s">
        <v>431</v>
      </c>
      <c r="L16" s="7">
        <v>3.1070000000000002</v>
      </c>
      <c r="M16" s="8">
        <v>43300</v>
      </c>
      <c r="N16">
        <v>7</v>
      </c>
      <c r="O16" t="s">
        <v>60</v>
      </c>
      <c r="P16">
        <v>2018</v>
      </c>
      <c r="Q16">
        <v>0.15029999999999999</v>
      </c>
      <c r="R16" s="10"/>
      <c r="S16">
        <f>ROUND(ТабCЕС[[#This Row],[Зелений Тариф ЕЦ]]+ТабCЕС[[#This Row],[Зелений Тариф ЕЦ]]*ТабCЕС[[#This Row],[% надбавки]],4)</f>
        <v>0.15029999999999999</v>
      </c>
      <c r="T16" s="8"/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0.13500000000000001</v>
      </c>
      <c r="AO16">
        <v>0.33600000000000002</v>
      </c>
      <c r="AP16">
        <v>0.32500000000000001</v>
      </c>
      <c r="AQ16">
        <v>7.9000000000000001E-2</v>
      </c>
      <c r="AR16">
        <v>2.5000000000000001E-2</v>
      </c>
      <c r="AS16">
        <v>0.03</v>
      </c>
      <c r="AT16">
        <v>0.27400000000000002</v>
      </c>
      <c r="AU16">
        <v>0.59</v>
      </c>
      <c r="AV16">
        <v>0.84599999999999997</v>
      </c>
      <c r="AW16">
        <v>0.79500000000000004</v>
      </c>
      <c r="AX16">
        <v>0.997</v>
      </c>
      <c r="AY16">
        <v>1.006</v>
      </c>
      <c r="AZ16">
        <v>0.83599999999999997</v>
      </c>
    </row>
    <row r="17" spans="2:52">
      <c r="C17" t="s">
        <v>58</v>
      </c>
      <c r="D17" t="s">
        <v>384</v>
      </c>
      <c r="F17" s="1" t="s">
        <v>427</v>
      </c>
      <c r="G17" s="1" t="s">
        <v>432</v>
      </c>
      <c r="H17" t="s">
        <v>172</v>
      </c>
      <c r="I17" t="s">
        <v>429</v>
      </c>
      <c r="J17" t="s">
        <v>430</v>
      </c>
      <c r="K17" t="s">
        <v>431</v>
      </c>
      <c r="L17" s="7">
        <v>3.1760000000000002</v>
      </c>
      <c r="M17" s="8">
        <v>43455</v>
      </c>
      <c r="N17">
        <v>12</v>
      </c>
      <c r="O17" t="s">
        <v>71</v>
      </c>
      <c r="P17">
        <v>2018</v>
      </c>
      <c r="Q17">
        <v>0.15029999999999999</v>
      </c>
      <c r="R17" s="10"/>
      <c r="S17">
        <f>ROUND(ТабCЕС[[#This Row],[Зелений Тариф ЕЦ]]+ТабCЕС[[#This Row],[Зелений Тариф ЕЦ]]*ТабCЕС[[#This Row],[% надбавки]],4)</f>
        <v>0.15029999999999999</v>
      </c>
      <c r="T17" s="8"/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2:52" ht="25.5">
      <c r="C18" t="s">
        <v>58</v>
      </c>
      <c r="D18" t="s">
        <v>384</v>
      </c>
      <c r="F18" s="1" t="s">
        <v>433</v>
      </c>
      <c r="G18" s="1" t="s">
        <v>434</v>
      </c>
      <c r="H18" t="s">
        <v>136</v>
      </c>
      <c r="I18" t="s">
        <v>66</v>
      </c>
      <c r="J18" t="s">
        <v>435</v>
      </c>
      <c r="K18" t="s">
        <v>436</v>
      </c>
      <c r="L18" s="7">
        <v>4.95</v>
      </c>
      <c r="M18" s="8">
        <v>43508</v>
      </c>
      <c r="N18">
        <v>2</v>
      </c>
      <c r="O18" t="s">
        <v>67</v>
      </c>
      <c r="P18">
        <v>2019</v>
      </c>
      <c r="Q18">
        <v>0.15029999999999999</v>
      </c>
      <c r="R18" s="10"/>
      <c r="S18">
        <f>ROUND(ТабCЕС[[#This Row],[Зелений Тариф ЕЦ]]+ТабCЕС[[#This Row],[Зелений Тариф ЕЦ]]*ТабCЕС[[#This Row],[% надбавки]],4)</f>
        <v>0.15029999999999999</v>
      </c>
      <c r="T18" s="8"/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0.49099999999999999</v>
      </c>
      <c r="AV18">
        <v>0.65400000000000003</v>
      </c>
      <c r="AW18">
        <v>0.70299999999999996</v>
      </c>
      <c r="AX18">
        <v>0.80700000000000005</v>
      </c>
      <c r="AY18">
        <v>0.57399999999999995</v>
      </c>
      <c r="AZ18">
        <v>0.78700000000000003</v>
      </c>
    </row>
    <row r="19" spans="2:52">
      <c r="C19" t="s">
        <v>58</v>
      </c>
      <c r="D19" t="s">
        <v>384</v>
      </c>
      <c r="F19" s="1" t="s">
        <v>437</v>
      </c>
      <c r="G19" s="1" t="s">
        <v>438</v>
      </c>
      <c r="H19" t="s">
        <v>198</v>
      </c>
      <c r="I19" t="s">
        <v>439</v>
      </c>
      <c r="K19" t="s">
        <v>440</v>
      </c>
      <c r="L19" s="7">
        <v>0.29899999999999999</v>
      </c>
      <c r="M19" s="8">
        <v>42905</v>
      </c>
      <c r="N19">
        <v>6</v>
      </c>
      <c r="O19" t="s">
        <v>57</v>
      </c>
      <c r="P19">
        <v>2017</v>
      </c>
      <c r="Q19">
        <v>0.15029999999999999</v>
      </c>
      <c r="R19" s="10"/>
      <c r="S19">
        <f>ROUND(ТабCЕС[[#This Row],[Зелений Тариф ЕЦ]]+ТабCЕС[[#This Row],[Зелений Тариф ЕЦ]]*ТабCЕС[[#This Row],[% надбавки]],4)</f>
        <v>0.15029999999999999</v>
      </c>
      <c r="T19" s="8"/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2.1999999999999999E-2</v>
      </c>
      <c r="AD19">
        <v>1.8000000000000002E-2</v>
      </c>
      <c r="AE19">
        <v>1.1999999999999997E-2</v>
      </c>
      <c r="AF19">
        <v>1.6000000000000007E-2</v>
      </c>
      <c r="AG19">
        <v>6.6000000000000003E-2</v>
      </c>
      <c r="AH19">
        <v>0.113</v>
      </c>
      <c r="AI19">
        <v>0.222</v>
      </c>
      <c r="AJ19">
        <v>0.44600000000000001</v>
      </c>
      <c r="AK19">
        <v>0.50600000000000001</v>
      </c>
      <c r="AL19">
        <v>0.434</v>
      </c>
      <c r="AM19">
        <v>0.41199999999999998</v>
      </c>
      <c r="AN19">
        <v>0.49399999999999999</v>
      </c>
      <c r="AO19">
        <v>0.311</v>
      </c>
      <c r="AP19">
        <v>0.28599999999999998</v>
      </c>
      <c r="AQ19">
        <v>6.7000000000000004E-2</v>
      </c>
      <c r="AR19">
        <v>3.5000000000000003E-2</v>
      </c>
      <c r="AS19">
        <v>0.03</v>
      </c>
      <c r="AT19">
        <v>0.126</v>
      </c>
      <c r="AU19">
        <v>0.246</v>
      </c>
      <c r="AV19">
        <v>0.36299999999999999</v>
      </c>
      <c r="AW19">
        <v>0.39400000000000002</v>
      </c>
      <c r="AX19">
        <v>0.47699999999999998</v>
      </c>
      <c r="AY19">
        <v>0.437</v>
      </c>
      <c r="AZ19">
        <v>0.45200000000000001</v>
      </c>
    </row>
    <row r="20" spans="2:52">
      <c r="C20" t="s">
        <v>58</v>
      </c>
      <c r="D20" t="s">
        <v>384</v>
      </c>
      <c r="F20" s="1" t="s">
        <v>437</v>
      </c>
      <c r="G20" s="1" t="s">
        <v>441</v>
      </c>
      <c r="H20" t="s">
        <v>198</v>
      </c>
      <c r="I20" t="s">
        <v>439</v>
      </c>
      <c r="K20" t="s">
        <v>440</v>
      </c>
      <c r="L20" s="7">
        <v>1.117</v>
      </c>
      <c r="M20" s="8">
        <v>43096</v>
      </c>
      <c r="N20">
        <v>12</v>
      </c>
      <c r="O20" t="s">
        <v>71</v>
      </c>
      <c r="P20">
        <v>2017</v>
      </c>
      <c r="Q20">
        <v>0.15029999999999999</v>
      </c>
      <c r="R20" s="10"/>
      <c r="S20">
        <f>ROUND(ТабCЕС[[#This Row],[Зелений Тариф ЕЦ]]+ТабCЕС[[#This Row],[Зелений Тариф ЕЦ]]*ТабCЕС[[#This Row],[% надбавки]],4)</f>
        <v>0.15029999999999999</v>
      </c>
      <c r="T20" s="8"/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1.4999999999999999E-2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2:52">
      <c r="C21" t="s">
        <v>58</v>
      </c>
      <c r="D21" t="s">
        <v>384</v>
      </c>
      <c r="F21" s="1" t="s">
        <v>437</v>
      </c>
      <c r="G21" s="1" t="s">
        <v>442</v>
      </c>
      <c r="H21" t="s">
        <v>198</v>
      </c>
      <c r="I21" t="s">
        <v>439</v>
      </c>
      <c r="K21" t="s">
        <v>440</v>
      </c>
      <c r="L21" s="7">
        <v>1.4279999999999999</v>
      </c>
      <c r="M21" s="8">
        <v>43111</v>
      </c>
      <c r="N21">
        <v>1</v>
      </c>
      <c r="O21" t="s">
        <v>67</v>
      </c>
      <c r="P21">
        <v>2018</v>
      </c>
      <c r="Q21">
        <v>0.15029999999999999</v>
      </c>
      <c r="R21" s="10"/>
      <c r="S21">
        <f>ROUND(ТабCЕС[[#This Row],[Зелений Тариф ЕЦ]]+ТабCЕС[[#This Row],[Зелений Тариф ЕЦ]]*ТабCЕС[[#This Row],[% надбавки]],4)</f>
        <v>0.15029999999999999</v>
      </c>
      <c r="T21" s="8"/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2:52">
      <c r="C22" t="s">
        <v>58</v>
      </c>
      <c r="D22" t="s">
        <v>384</v>
      </c>
      <c r="F22" s="1" t="s">
        <v>443</v>
      </c>
      <c r="G22" s="1" t="s">
        <v>444</v>
      </c>
      <c r="H22" t="s">
        <v>107</v>
      </c>
      <c r="I22" t="s">
        <v>445</v>
      </c>
      <c r="K22" t="s">
        <v>446</v>
      </c>
      <c r="L22" s="7">
        <v>9.9220000000000006</v>
      </c>
      <c r="M22" s="8">
        <v>43613</v>
      </c>
      <c r="N22">
        <v>5</v>
      </c>
      <c r="O22" t="s">
        <v>57</v>
      </c>
      <c r="P22">
        <v>2019</v>
      </c>
      <c r="Q22">
        <v>0.15029999999999999</v>
      </c>
      <c r="R22" s="10"/>
      <c r="S22">
        <f>ROUND(ТабCЕС[[#This Row],[Зелений Тариф ЕЦ]]+ТабCЕС[[#This Row],[Зелений Тариф ЕЦ]]*ТабCЕС[[#This Row],[% надбавки]],4)</f>
        <v>0.15029999999999999</v>
      </c>
      <c r="T22" s="8"/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0.32200000000000001</v>
      </c>
    </row>
    <row r="23" spans="2:52">
      <c r="C23" t="s">
        <v>58</v>
      </c>
      <c r="D23" t="s">
        <v>384</v>
      </c>
      <c r="F23" s="1" t="s">
        <v>447</v>
      </c>
      <c r="G23" s="1" t="s">
        <v>384</v>
      </c>
      <c r="H23" t="s">
        <v>198</v>
      </c>
      <c r="I23" t="s">
        <v>448</v>
      </c>
      <c r="K23" t="s">
        <v>449</v>
      </c>
      <c r="L23" s="7">
        <v>1.1619999999999999</v>
      </c>
      <c r="M23" s="8">
        <v>43403</v>
      </c>
      <c r="N23">
        <v>10</v>
      </c>
      <c r="O23" t="s">
        <v>71</v>
      </c>
      <c r="P23">
        <v>2018</v>
      </c>
      <c r="Q23">
        <v>0.15029999999999999</v>
      </c>
      <c r="R23" s="10"/>
      <c r="S23">
        <f>ROUND(ТабCЕС[[#This Row],[Зелений Тариф ЕЦ]]+ТабCЕС[[#This Row],[Зелений Тариф ЕЦ]]*ТабCЕС[[#This Row],[% надбавки]],4)</f>
        <v>0.15029999999999999</v>
      </c>
      <c r="T23" s="8"/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1.2E-2</v>
      </c>
      <c r="AT23">
        <v>5.2999999999999999E-2</v>
      </c>
      <c r="AU23">
        <v>0.112</v>
      </c>
      <c r="AV23">
        <v>0.14599999999999999</v>
      </c>
      <c r="AW23">
        <v>0.156</v>
      </c>
      <c r="AX23">
        <v>0.191</v>
      </c>
      <c r="AY23">
        <v>9.8000000000000004E-2</v>
      </c>
      <c r="AZ23">
        <v>0.16900000000000001</v>
      </c>
    </row>
    <row r="24" spans="2:52">
      <c r="C24" t="s">
        <v>58</v>
      </c>
      <c r="D24" t="s">
        <v>384</v>
      </c>
      <c r="F24" s="1" t="s">
        <v>450</v>
      </c>
      <c r="G24" s="1" t="s">
        <v>451</v>
      </c>
      <c r="H24" t="s">
        <v>65</v>
      </c>
      <c r="I24" t="s">
        <v>424</v>
      </c>
      <c r="K24" t="s">
        <v>452</v>
      </c>
      <c r="L24" s="7">
        <v>5.5659999999999998</v>
      </c>
      <c r="M24" s="8">
        <v>43361</v>
      </c>
      <c r="N24">
        <v>9</v>
      </c>
      <c r="O24" t="s">
        <v>60</v>
      </c>
      <c r="P24">
        <v>2018</v>
      </c>
      <c r="Q24">
        <v>0.15029999999999999</v>
      </c>
      <c r="R24" s="10"/>
      <c r="S24">
        <f>ROUND(ТабCЕС[[#This Row],[Зелений Тариф ЕЦ]]+ТабCЕС[[#This Row],[Зелений Тариф ЕЦ]]*ТабCЕС[[#This Row],[% надбавки]],4)</f>
        <v>0.15029999999999999</v>
      </c>
      <c r="T24" s="8"/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0.88700000000000001</v>
      </c>
      <c r="AO24">
        <v>0.70499999999999996</v>
      </c>
      <c r="AP24">
        <v>0.59299999999999997</v>
      </c>
      <c r="AQ24">
        <v>0.159</v>
      </c>
      <c r="AR24">
        <v>9.5000000000000001E-2</v>
      </c>
      <c r="AS24">
        <v>0.121</v>
      </c>
      <c r="AT24">
        <v>0.41499999999999998</v>
      </c>
      <c r="AU24">
        <v>0.57499999999999996</v>
      </c>
      <c r="AV24">
        <v>0.80399999999999994</v>
      </c>
      <c r="AW24">
        <v>0.8859999999999999</v>
      </c>
      <c r="AX24">
        <v>1.131</v>
      </c>
      <c r="AY24">
        <v>1.1040000000000001</v>
      </c>
      <c r="AZ24">
        <v>1.0720000000000001</v>
      </c>
    </row>
    <row r="25" spans="2:52">
      <c r="C25" t="s">
        <v>58</v>
      </c>
      <c r="D25" t="s">
        <v>384</v>
      </c>
      <c r="F25" s="1" t="s">
        <v>450</v>
      </c>
      <c r="G25" s="1" t="s">
        <v>453</v>
      </c>
      <c r="H25" t="s">
        <v>65</v>
      </c>
      <c r="I25" t="s">
        <v>454</v>
      </c>
      <c r="K25" t="s">
        <v>455</v>
      </c>
      <c r="L25" s="7">
        <v>1.452</v>
      </c>
      <c r="M25" s="8">
        <v>43564</v>
      </c>
      <c r="N25">
        <v>4</v>
      </c>
      <c r="O25" t="s">
        <v>57</v>
      </c>
      <c r="P25">
        <v>2019</v>
      </c>
      <c r="Q25">
        <v>0.15029999999999999</v>
      </c>
      <c r="R25" s="10"/>
      <c r="S25">
        <f>ROUND(ТабCЕС[[#This Row],[Зелений Тариф ЕЦ]]+ТабCЕС[[#This Row],[Зелений Тариф ЕЦ]]*ТабCЕС[[#This Row],[% надбавки]],4)</f>
        <v>0.15029999999999999</v>
      </c>
      <c r="T25" s="8"/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2:52">
      <c r="C26" t="s">
        <v>58</v>
      </c>
      <c r="D26" t="s">
        <v>384</v>
      </c>
      <c r="F26" s="1" t="s">
        <v>456</v>
      </c>
      <c r="G26" s="1" t="s">
        <v>457</v>
      </c>
      <c r="H26" t="s">
        <v>98</v>
      </c>
      <c r="I26" t="s">
        <v>458</v>
      </c>
      <c r="K26" t="s">
        <v>459</v>
      </c>
      <c r="L26" s="7">
        <v>3.2010000000000001</v>
      </c>
      <c r="M26" s="8">
        <v>43643</v>
      </c>
      <c r="N26">
        <v>6</v>
      </c>
      <c r="O26" t="s">
        <v>57</v>
      </c>
      <c r="P26">
        <v>2019</v>
      </c>
      <c r="Q26">
        <v>0.15029999999999999</v>
      </c>
      <c r="R26" s="10"/>
      <c r="S26">
        <f>ROUND(ТабCЕС[[#This Row],[Зелений Тариф ЕЦ]]+ТабCЕС[[#This Row],[Зелений Тариф ЕЦ]]*ТабCЕС[[#This Row],[% надбавки]],4)</f>
        <v>0.15029999999999999</v>
      </c>
      <c r="T26" s="8"/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0.15</v>
      </c>
      <c r="AZ26">
        <v>0.36199999999999999</v>
      </c>
    </row>
    <row r="27" spans="2:52">
      <c r="B27" t="s">
        <v>460</v>
      </c>
      <c r="C27">
        <v>37411633</v>
      </c>
      <c r="D27" t="s">
        <v>384</v>
      </c>
      <c r="F27" s="1" t="s">
        <v>461</v>
      </c>
      <c r="G27" s="1" t="s">
        <v>462</v>
      </c>
      <c r="H27" t="s">
        <v>73</v>
      </c>
      <c r="K27" t="s">
        <v>463</v>
      </c>
      <c r="L27" s="7">
        <v>0.999</v>
      </c>
      <c r="M27" s="8">
        <v>41599</v>
      </c>
      <c r="N27">
        <v>11</v>
      </c>
      <c r="O27" t="s">
        <v>71</v>
      </c>
      <c r="P27">
        <v>2013</v>
      </c>
      <c r="Q27">
        <v>0.33929999999999999</v>
      </c>
      <c r="R27" s="10"/>
      <c r="S27">
        <f>ROUND(ТабCЕС[[#This Row],[Зелений Тариф ЕЦ]]+ТабCЕС[[#This Row],[Зелений Тариф ЕЦ]]*ТабCЕС[[#This Row],[% надбавки]],4)</f>
        <v>0.33929999999999999</v>
      </c>
      <c r="T27" s="8"/>
      <c r="U27">
        <v>4.5999999999999999E-2</v>
      </c>
      <c r="V27">
        <v>6.0999999999999999E-2</v>
      </c>
      <c r="W27">
        <v>0.112</v>
      </c>
      <c r="X27">
        <v>0.12100000000000002</v>
      </c>
      <c r="Y27">
        <v>0.16399999999999998</v>
      </c>
      <c r="Z27">
        <v>0.15900000000000003</v>
      </c>
      <c r="AA27">
        <v>0.15899999999999992</v>
      </c>
      <c r="AB27">
        <v>0.14700000000000002</v>
      </c>
      <c r="AC27">
        <v>0.13500000000000012</v>
      </c>
      <c r="AD27">
        <v>6.6999999999999948E-2</v>
      </c>
      <c r="AE27">
        <v>3.2000000000000028E-2</v>
      </c>
      <c r="AF27">
        <v>2.0999999999999908E-2</v>
      </c>
      <c r="AG27">
        <v>3.4000000000000002E-2</v>
      </c>
      <c r="AH27">
        <v>4.1000000000000002E-2</v>
      </c>
      <c r="AI27">
        <v>8.1000000000000003E-2</v>
      </c>
      <c r="AJ27">
        <v>0.15</v>
      </c>
      <c r="AK27">
        <v>0.159</v>
      </c>
      <c r="AL27">
        <v>0.153</v>
      </c>
      <c r="AM27">
        <v>0.14399999999999999</v>
      </c>
      <c r="AN27">
        <v>0.16200000000000001</v>
      </c>
      <c r="AO27">
        <v>0.106</v>
      </c>
      <c r="AP27">
        <v>0.113</v>
      </c>
      <c r="AQ27">
        <v>3.6999999999999998E-2</v>
      </c>
      <c r="AR27">
        <v>1.7000000000000001E-2</v>
      </c>
      <c r="AS27">
        <v>2.7E-2</v>
      </c>
      <c r="AT27">
        <v>4.5999999999999999E-2</v>
      </c>
      <c r="AU27">
        <v>0.107</v>
      </c>
      <c r="AV27">
        <v>0.14099999999999999</v>
      </c>
      <c r="AW27">
        <v>0.14099999999999999</v>
      </c>
      <c r="AX27">
        <v>0.15</v>
      </c>
      <c r="AY27">
        <v>0.156</v>
      </c>
      <c r="AZ27">
        <v>0.14099999999999999</v>
      </c>
    </row>
    <row r="28" spans="2:52">
      <c r="B28" t="s">
        <v>464</v>
      </c>
      <c r="C28">
        <v>37411633</v>
      </c>
      <c r="D28" t="s">
        <v>384</v>
      </c>
      <c r="F28" s="1" t="s">
        <v>461</v>
      </c>
      <c r="G28" s="1" t="s">
        <v>465</v>
      </c>
      <c r="H28" t="s">
        <v>73</v>
      </c>
      <c r="K28" t="s">
        <v>463</v>
      </c>
      <c r="L28" s="7">
        <v>3.996</v>
      </c>
      <c r="M28" s="8">
        <v>42367</v>
      </c>
      <c r="N28">
        <v>12</v>
      </c>
      <c r="O28" t="s">
        <v>71</v>
      </c>
      <c r="P28">
        <v>2015</v>
      </c>
      <c r="Q28">
        <v>0.1696</v>
      </c>
      <c r="R28" s="10"/>
      <c r="S28">
        <f>ROUND(ТабCЕС[[#This Row],[Зелений Тариф ЕЦ]]+ТабCЕС[[#This Row],[Зелений Тариф ЕЦ]]*ТабCЕС[[#This Row],[% надбавки]],4)</f>
        <v>0.1696</v>
      </c>
      <c r="T28" s="8"/>
      <c r="U28">
        <v>0.184</v>
      </c>
      <c r="V28">
        <v>0.254</v>
      </c>
      <c r="W28">
        <v>0.46500000000000002</v>
      </c>
      <c r="X28">
        <v>0.504</v>
      </c>
      <c r="Y28">
        <v>0.68500000000000005</v>
      </c>
      <c r="Z28">
        <v>0.66299999999999981</v>
      </c>
      <c r="AA28">
        <v>0.65700000000000003</v>
      </c>
      <c r="AB28">
        <v>0.60599999999999987</v>
      </c>
      <c r="AC28">
        <v>0.5600000000000005</v>
      </c>
      <c r="AD28">
        <v>0.27700000000000014</v>
      </c>
      <c r="AE28">
        <v>0.12299999999999933</v>
      </c>
      <c r="AF28">
        <v>6.5000000000000391E-2</v>
      </c>
      <c r="AG28">
        <v>0.113</v>
      </c>
      <c r="AH28">
        <v>0.17399999999999999</v>
      </c>
      <c r="AI28">
        <v>0.33900000000000002</v>
      </c>
      <c r="AJ28">
        <v>0.627</v>
      </c>
      <c r="AK28">
        <v>0.53600000000000003</v>
      </c>
      <c r="AL28">
        <v>0.63100000000000001</v>
      </c>
      <c r="AM28">
        <v>0.60199999999999998</v>
      </c>
      <c r="AN28">
        <v>0.66200000000000003</v>
      </c>
      <c r="AO28">
        <v>0.436</v>
      </c>
      <c r="AP28">
        <v>0.46500000000000002</v>
      </c>
      <c r="AQ28">
        <v>0.157</v>
      </c>
      <c r="AR28">
        <v>7.1999999999999995E-2</v>
      </c>
      <c r="AS28">
        <v>0.111</v>
      </c>
      <c r="AT28">
        <v>0.192</v>
      </c>
      <c r="AU28">
        <v>0.44600000000000001</v>
      </c>
      <c r="AV28">
        <v>0.58599999999999997</v>
      </c>
      <c r="AW28">
        <v>0.58199999999999996</v>
      </c>
      <c r="AX28">
        <v>0.61499999999999999</v>
      </c>
      <c r="AY28">
        <v>0.64900000000000002</v>
      </c>
      <c r="AZ28">
        <v>0.42399999999999999</v>
      </c>
    </row>
    <row r="29" spans="2:52">
      <c r="C29" t="s">
        <v>58</v>
      </c>
      <c r="D29" t="s">
        <v>384</v>
      </c>
      <c r="F29" s="1" t="s">
        <v>466</v>
      </c>
      <c r="G29" s="1" t="s">
        <v>384</v>
      </c>
      <c r="H29" t="s">
        <v>185</v>
      </c>
      <c r="I29" t="s">
        <v>467</v>
      </c>
      <c r="K29" t="s">
        <v>468</v>
      </c>
      <c r="L29" s="7">
        <v>0.27600000000000002</v>
      </c>
      <c r="M29" s="8">
        <v>43434</v>
      </c>
      <c r="N29">
        <v>11</v>
      </c>
      <c r="O29" t="s">
        <v>71</v>
      </c>
      <c r="P29">
        <v>2018</v>
      </c>
      <c r="Q29">
        <v>0.15029999999999999</v>
      </c>
      <c r="R29" s="10"/>
      <c r="S29">
        <f>ROUND(ТабCЕС[[#This Row],[Зелений Тариф ЕЦ]]+ТабCЕС[[#This Row],[Зелений Тариф ЕЦ]]*ТабCЕС[[#This Row],[% надбавки]],4)</f>
        <v>0.15029999999999999</v>
      </c>
      <c r="T29" s="8"/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0.02</v>
      </c>
      <c r="AZ29">
        <v>3.3000000000000002E-2</v>
      </c>
    </row>
    <row r="30" spans="2:52">
      <c r="B30" t="s">
        <v>469</v>
      </c>
      <c r="C30">
        <v>37745563</v>
      </c>
      <c r="D30" t="s">
        <v>384</v>
      </c>
      <c r="F30" s="1" t="s">
        <v>470</v>
      </c>
      <c r="G30" s="1" t="s">
        <v>384</v>
      </c>
      <c r="H30" t="s">
        <v>73</v>
      </c>
      <c r="I30" t="s">
        <v>77</v>
      </c>
      <c r="K30" t="s">
        <v>471</v>
      </c>
      <c r="L30" s="7">
        <v>2.367</v>
      </c>
      <c r="M30" s="8">
        <v>41816</v>
      </c>
      <c r="N30">
        <v>6</v>
      </c>
      <c r="O30" t="s">
        <v>57</v>
      </c>
      <c r="P30">
        <v>2014</v>
      </c>
      <c r="Q30">
        <v>0.33929999999999999</v>
      </c>
      <c r="R30" s="10"/>
      <c r="S30">
        <f>ROUND(ТабCЕС[[#This Row],[Зелений Тариф ЕЦ]]+ТабCЕС[[#This Row],[Зелений Тариф ЕЦ]]*ТабCЕС[[#This Row],[% надбавки]],4)</f>
        <v>0.33929999999999999</v>
      </c>
      <c r="T30" s="8"/>
      <c r="U30">
        <v>8.8999999999999996E-2</v>
      </c>
      <c r="V30">
        <v>0.15</v>
      </c>
      <c r="W30">
        <v>0.29400000000000004</v>
      </c>
      <c r="X30">
        <v>0.30599999999999994</v>
      </c>
      <c r="Y30">
        <v>0.42100000000000004</v>
      </c>
      <c r="Z30">
        <v>0.43900000000000006</v>
      </c>
      <c r="AA30">
        <v>0.41499999999999981</v>
      </c>
      <c r="AB30">
        <v>0.39700000000000024</v>
      </c>
      <c r="AC30">
        <v>0.35400000000000009</v>
      </c>
      <c r="AD30">
        <v>0.19999999999999973</v>
      </c>
      <c r="AE30">
        <v>0.10499999999999998</v>
      </c>
      <c r="AF30">
        <v>6.6000000000000281E-2</v>
      </c>
      <c r="AG30">
        <v>7.4999999999999997E-2</v>
      </c>
      <c r="AH30">
        <v>0.13500000000000001</v>
      </c>
      <c r="AI30">
        <v>0.19800000000000001</v>
      </c>
      <c r="AJ30">
        <v>0.40799999999999997</v>
      </c>
      <c r="AK30">
        <v>0.43099999999999999</v>
      </c>
      <c r="AL30">
        <v>0.371</v>
      </c>
      <c r="AM30">
        <v>0.35399999999999998</v>
      </c>
      <c r="AN30">
        <v>0.43</v>
      </c>
      <c r="AO30">
        <v>0.314</v>
      </c>
      <c r="AP30">
        <v>0.317</v>
      </c>
      <c r="AQ30">
        <v>0.104</v>
      </c>
      <c r="AR30">
        <v>4.5999999999999999E-2</v>
      </c>
      <c r="AS30">
        <v>6.2E-2</v>
      </c>
      <c r="AT30">
        <v>0.13800000000000001</v>
      </c>
      <c r="AU30">
        <v>0.32200000000000001</v>
      </c>
      <c r="AV30">
        <v>0.36599999999999999</v>
      </c>
      <c r="AW30">
        <v>0.39800000000000002</v>
      </c>
      <c r="AX30">
        <v>0.39500000000000002</v>
      </c>
      <c r="AY30">
        <v>0.39500000000000002</v>
      </c>
      <c r="AZ30">
        <v>0.40600000000000003</v>
      </c>
    </row>
    <row r="31" spans="2:52">
      <c r="C31" t="s">
        <v>58</v>
      </c>
      <c r="D31" t="s">
        <v>384</v>
      </c>
      <c r="F31" s="1" t="s">
        <v>472</v>
      </c>
      <c r="G31" s="1" t="s">
        <v>384</v>
      </c>
      <c r="H31" t="s">
        <v>101</v>
      </c>
      <c r="K31" t="s">
        <v>473</v>
      </c>
      <c r="L31" s="7">
        <v>4.0350000000000001</v>
      </c>
      <c r="M31" s="8">
        <v>43333</v>
      </c>
      <c r="N31">
        <v>8</v>
      </c>
      <c r="O31" t="s">
        <v>60</v>
      </c>
      <c r="P31">
        <v>2018</v>
      </c>
      <c r="Q31">
        <v>0.15029999999999999</v>
      </c>
      <c r="R31" s="10">
        <v>0.05</v>
      </c>
      <c r="S31">
        <f>ROUND(ТабCЕС[[#This Row],[Зелений Тариф ЕЦ]]+ТабCЕС[[#This Row],[Зелений Тариф ЕЦ]]*ТабCЕС[[#This Row],[% надбавки]],4)</f>
        <v>0.1578</v>
      </c>
      <c r="T31" s="8">
        <v>43361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0.48099999999999998</v>
      </c>
      <c r="AP31">
        <v>0.47699999999999998</v>
      </c>
      <c r="AQ31">
        <v>9.7000000000000003E-2</v>
      </c>
      <c r="AR31">
        <v>0.10100000000000001</v>
      </c>
      <c r="AS31">
        <v>0.13300000000000001</v>
      </c>
      <c r="AT31">
        <v>0.24299999999999999</v>
      </c>
      <c r="AU31">
        <v>0.59599999999999997</v>
      </c>
      <c r="AV31">
        <v>0.58799999999999997</v>
      </c>
      <c r="AW31">
        <v>0.66200000000000003</v>
      </c>
      <c r="AX31">
        <v>0.69699999999999995</v>
      </c>
      <c r="AY31">
        <v>0.67300000000000004</v>
      </c>
      <c r="AZ31">
        <v>0.69099999999999995</v>
      </c>
    </row>
    <row r="32" spans="2:52">
      <c r="B32" t="s">
        <v>474</v>
      </c>
      <c r="C32">
        <v>36687375</v>
      </c>
      <c r="D32" t="s">
        <v>384</v>
      </c>
      <c r="F32" s="1" t="s">
        <v>61</v>
      </c>
      <c r="G32" s="1" t="s">
        <v>475</v>
      </c>
      <c r="H32" t="s">
        <v>62</v>
      </c>
      <c r="I32" t="s">
        <v>63</v>
      </c>
      <c r="K32" t="s">
        <v>476</v>
      </c>
      <c r="L32" s="7">
        <v>0.1</v>
      </c>
      <c r="M32" s="8">
        <v>43581</v>
      </c>
      <c r="N32">
        <v>4</v>
      </c>
      <c r="O32" t="s">
        <v>57</v>
      </c>
      <c r="P32">
        <v>2019</v>
      </c>
      <c r="Q32">
        <v>0.15029999999999999</v>
      </c>
      <c r="R32" s="10"/>
      <c r="S32">
        <f>ROUND(ТабCЕС[[#This Row],[Зелений Тариф ЕЦ]]+ТабCЕС[[#This Row],[Зелений Тариф ЕЦ]]*ТабCЕС[[#This Row],[% надбавки]],4)</f>
        <v>0.15029999999999999</v>
      </c>
      <c r="T32" s="8"/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2:52">
      <c r="C33" t="s">
        <v>58</v>
      </c>
      <c r="D33" t="s">
        <v>384</v>
      </c>
      <c r="F33" s="1" t="s">
        <v>477</v>
      </c>
      <c r="G33" s="1" t="s">
        <v>384</v>
      </c>
      <c r="H33" t="s">
        <v>98</v>
      </c>
      <c r="K33" t="s">
        <v>478</v>
      </c>
      <c r="L33" s="7">
        <v>8.452</v>
      </c>
      <c r="M33" s="8">
        <v>43494</v>
      </c>
      <c r="N33">
        <v>1</v>
      </c>
      <c r="O33" t="s">
        <v>67</v>
      </c>
      <c r="P33">
        <v>2019</v>
      </c>
      <c r="Q33">
        <v>0.15029999999999999</v>
      </c>
      <c r="R33" s="10"/>
      <c r="S33">
        <f>ROUND(ТабCЕС[[#This Row],[Зелений Тариф ЕЦ]]+ТабCЕС[[#This Row],[Зелений Тариф ЕЦ]]*ТабCЕС[[#This Row],[% надбавки]],4)</f>
        <v>0.15029999999999999</v>
      </c>
      <c r="T33" s="8"/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0.75700000000000001</v>
      </c>
      <c r="AV33">
        <v>1.006</v>
      </c>
      <c r="AW33">
        <v>0.81299999999999994</v>
      </c>
      <c r="AX33">
        <v>1.1919999999999999</v>
      </c>
      <c r="AY33">
        <v>1.2569999999999999</v>
      </c>
      <c r="AZ33">
        <v>1.2809999999999999</v>
      </c>
    </row>
    <row r="34" spans="2:52">
      <c r="B34" t="s">
        <v>479</v>
      </c>
      <c r="C34">
        <v>37012088</v>
      </c>
      <c r="D34" t="s">
        <v>384</v>
      </c>
      <c r="F34" s="1" t="s">
        <v>480</v>
      </c>
      <c r="G34" s="1" t="s">
        <v>384</v>
      </c>
      <c r="H34" t="s">
        <v>101</v>
      </c>
      <c r="I34" t="s">
        <v>481</v>
      </c>
      <c r="J34" t="s">
        <v>482</v>
      </c>
      <c r="K34" t="s">
        <v>482</v>
      </c>
      <c r="L34" s="7">
        <v>34.14</v>
      </c>
      <c r="M34" s="8">
        <v>41389</v>
      </c>
      <c r="N34">
        <v>4</v>
      </c>
      <c r="O34" t="s">
        <v>57</v>
      </c>
      <c r="P34">
        <v>2013</v>
      </c>
      <c r="Q34">
        <v>0.25850000000000001</v>
      </c>
      <c r="R34" s="10"/>
      <c r="S34">
        <f>ROUND(ТабCЕС[[#This Row],[Зелений Тариф ЕЦ]]+ТабCЕС[[#This Row],[Зелений Тариф ЕЦ]]*ТабCЕС[[#This Row],[% надбавки]],4)</f>
        <v>0.25850000000000001</v>
      </c>
      <c r="T34" s="8"/>
      <c r="U34">
        <v>1.9239999999999999</v>
      </c>
      <c r="V34">
        <v>2.2840000000000003</v>
      </c>
      <c r="W34">
        <v>3.8629999999999995</v>
      </c>
      <c r="X34">
        <v>4.734</v>
      </c>
      <c r="Y34">
        <v>5.6870000000000012</v>
      </c>
      <c r="Z34">
        <v>5.7469999999999999</v>
      </c>
      <c r="AA34">
        <v>5.5829999999999984</v>
      </c>
      <c r="AB34">
        <v>5.7219999999999978</v>
      </c>
      <c r="AC34">
        <v>4.9980000000000047</v>
      </c>
      <c r="AD34">
        <v>3.4859999999999971</v>
      </c>
      <c r="AE34">
        <v>1.4310000000000045</v>
      </c>
      <c r="AF34">
        <v>1.4329999999999998</v>
      </c>
      <c r="AG34">
        <v>1.903</v>
      </c>
      <c r="AH34">
        <v>1.671</v>
      </c>
      <c r="AI34">
        <v>2.9889999999999999</v>
      </c>
      <c r="AJ34">
        <v>5.6050000000000004</v>
      </c>
      <c r="AK34">
        <v>5.6479999999999997</v>
      </c>
      <c r="AL34">
        <v>5.1950000000000003</v>
      </c>
      <c r="AM34">
        <v>4.9269999999999996</v>
      </c>
      <c r="AN34">
        <v>5.9489999999999998</v>
      </c>
      <c r="AO34">
        <v>4.2409999999999997</v>
      </c>
      <c r="AP34">
        <v>4.1980000000000004</v>
      </c>
      <c r="AQ34">
        <v>0.92</v>
      </c>
      <c r="AR34">
        <v>1.0629999999999999</v>
      </c>
      <c r="AS34">
        <v>1.304</v>
      </c>
      <c r="AT34">
        <v>2.0750000000000002</v>
      </c>
      <c r="AU34">
        <v>4.8360000000000003</v>
      </c>
      <c r="AV34">
        <v>4.3330000000000002</v>
      </c>
      <c r="AW34">
        <v>4.9960000000000004</v>
      </c>
      <c r="AX34">
        <v>5.29</v>
      </c>
      <c r="AY34">
        <v>5.4820000000000002</v>
      </c>
      <c r="AZ34">
        <v>5.6029999999999998</v>
      </c>
    </row>
    <row r="35" spans="2:52">
      <c r="C35" t="s">
        <v>58</v>
      </c>
      <c r="D35" t="s">
        <v>384</v>
      </c>
      <c r="F35" s="1" t="s">
        <v>483</v>
      </c>
      <c r="G35" s="1" t="s">
        <v>484</v>
      </c>
      <c r="H35" t="s">
        <v>233</v>
      </c>
      <c r="I35" t="s">
        <v>289</v>
      </c>
      <c r="K35" t="s">
        <v>485</v>
      </c>
      <c r="L35" s="7">
        <v>6.1829999999999998</v>
      </c>
      <c r="M35" s="8">
        <v>43602</v>
      </c>
      <c r="N35">
        <v>5</v>
      </c>
      <c r="O35" t="s">
        <v>57</v>
      </c>
      <c r="P35">
        <v>2019</v>
      </c>
      <c r="Q35">
        <v>0.15029999999999999</v>
      </c>
      <c r="R35" s="10"/>
      <c r="S35">
        <f>ROUND(ТабCЕС[[#This Row],[Зелений Тариф ЕЦ]]+ТабCЕС[[#This Row],[Зелений Тариф ЕЦ]]*ТабCЕС[[#This Row],[% надбавки]],4)</f>
        <v>0.15029999999999999</v>
      </c>
      <c r="T35" s="8"/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5.3999999999999999E-2</v>
      </c>
      <c r="AW35">
        <v>0.28000000000000003</v>
      </c>
      <c r="AX35">
        <v>1.0620000000000001</v>
      </c>
      <c r="AY35">
        <v>1.0089999999999999</v>
      </c>
      <c r="AZ35">
        <v>0.99</v>
      </c>
    </row>
    <row r="36" spans="2:52">
      <c r="C36" t="s">
        <v>58</v>
      </c>
      <c r="D36" t="s">
        <v>384</v>
      </c>
      <c r="F36" s="1" t="s">
        <v>486</v>
      </c>
      <c r="G36" s="1" t="s">
        <v>384</v>
      </c>
      <c r="H36" t="s">
        <v>198</v>
      </c>
      <c r="I36" t="s">
        <v>208</v>
      </c>
      <c r="K36" t="s">
        <v>487</v>
      </c>
      <c r="L36" s="7">
        <v>5.7859999999999996</v>
      </c>
      <c r="M36" s="8">
        <v>43511</v>
      </c>
      <c r="N36">
        <v>2</v>
      </c>
      <c r="O36" t="s">
        <v>67</v>
      </c>
      <c r="P36">
        <v>2019</v>
      </c>
      <c r="Q36">
        <v>0.15029999999999999</v>
      </c>
      <c r="R36" s="10"/>
      <c r="S36">
        <f>ROUND(ТабCЕС[[#This Row],[Зелений Тариф ЕЦ]]+ТабCЕС[[#This Row],[Зелений Тариф ЕЦ]]*ТабCЕС[[#This Row],[% надбавки]],4)</f>
        <v>0.15029999999999999</v>
      </c>
      <c r="T36" s="8"/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0.51400000000000001</v>
      </c>
      <c r="AV36">
        <v>0.78400000000000003</v>
      </c>
      <c r="AW36">
        <v>0.75700000000000001</v>
      </c>
      <c r="AX36">
        <v>0.999</v>
      </c>
      <c r="AY36">
        <v>0.88600000000000001</v>
      </c>
      <c r="AZ36">
        <v>0.94</v>
      </c>
    </row>
    <row r="37" spans="2:52">
      <c r="B37" t="s">
        <v>488</v>
      </c>
      <c r="C37">
        <v>38053326</v>
      </c>
      <c r="D37" t="s">
        <v>384</v>
      </c>
      <c r="F37" s="1" t="s">
        <v>489</v>
      </c>
      <c r="G37" s="1" t="s">
        <v>384</v>
      </c>
      <c r="H37" t="s">
        <v>73</v>
      </c>
      <c r="I37" t="s">
        <v>490</v>
      </c>
      <c r="J37" t="s">
        <v>491</v>
      </c>
      <c r="K37" t="s">
        <v>492</v>
      </c>
      <c r="L37" s="7">
        <v>6.5039999999999996</v>
      </c>
      <c r="M37" s="8">
        <v>42495</v>
      </c>
      <c r="N37">
        <v>5</v>
      </c>
      <c r="O37" t="s">
        <v>57</v>
      </c>
      <c r="P37">
        <v>2016</v>
      </c>
      <c r="Q37">
        <v>0.15989999999999999</v>
      </c>
      <c r="R37" s="10">
        <v>0.05</v>
      </c>
      <c r="S37">
        <f>ROUND(ТабCЕС[[#This Row],[Зелений Тариф ЕЦ]]+ТабCЕС[[#This Row],[Зелений Тариф ЕЦ]]*ТабCЕС[[#This Row],[% надбавки]],4)</f>
        <v>0.16789999999999999</v>
      </c>
      <c r="T37" s="8">
        <v>43144</v>
      </c>
      <c r="U37">
        <v>0.28599999999999998</v>
      </c>
      <c r="V37">
        <v>0.51100000000000012</v>
      </c>
      <c r="W37">
        <v>0.86899999999999988</v>
      </c>
      <c r="X37">
        <v>0.91900000000000004</v>
      </c>
      <c r="Y37">
        <v>1.0569999999999999</v>
      </c>
      <c r="Z37">
        <v>1.0840000000000001</v>
      </c>
      <c r="AA37">
        <v>1.1269999999999998</v>
      </c>
      <c r="AB37">
        <v>1.0760000000000005</v>
      </c>
      <c r="AC37">
        <v>0.98399999999999999</v>
      </c>
      <c r="AD37">
        <v>0.57099999999999973</v>
      </c>
      <c r="AE37">
        <v>0.30400000000000027</v>
      </c>
      <c r="AF37">
        <v>0.19899999999999984</v>
      </c>
      <c r="AG37">
        <v>0.26200000000000001</v>
      </c>
      <c r="AH37">
        <v>0.29499999999999998</v>
      </c>
      <c r="AI37">
        <v>0.56599999999999995</v>
      </c>
      <c r="AJ37">
        <v>1.1080000000000001</v>
      </c>
      <c r="AK37">
        <v>1.1639999999999999</v>
      </c>
      <c r="AL37">
        <v>1.0649999999999999</v>
      </c>
      <c r="AM37">
        <v>1.018</v>
      </c>
      <c r="AN37">
        <v>1.167</v>
      </c>
      <c r="AO37">
        <v>0.85399999999999998</v>
      </c>
      <c r="AP37">
        <v>0.85399999999999998</v>
      </c>
      <c r="AQ37">
        <v>0.27700000000000002</v>
      </c>
      <c r="AR37">
        <v>0.13</v>
      </c>
      <c r="AS37">
        <v>0.21099999999999999</v>
      </c>
      <c r="AT37">
        <v>0.47</v>
      </c>
      <c r="AU37">
        <v>0.90800000000000003</v>
      </c>
      <c r="AV37">
        <v>1.0209999999999999</v>
      </c>
      <c r="AW37">
        <v>1.048</v>
      </c>
      <c r="AX37">
        <v>1.075</v>
      </c>
      <c r="AY37">
        <v>1.069</v>
      </c>
      <c r="AZ37">
        <v>1.0489999999999999</v>
      </c>
    </row>
    <row r="38" spans="2:52">
      <c r="B38" t="s">
        <v>493</v>
      </c>
      <c r="C38">
        <v>38053305</v>
      </c>
      <c r="D38" t="s">
        <v>384</v>
      </c>
      <c r="F38" s="1" t="s">
        <v>494</v>
      </c>
      <c r="G38" s="1" t="s">
        <v>384</v>
      </c>
      <c r="H38" t="s">
        <v>73</v>
      </c>
      <c r="I38" t="s">
        <v>490</v>
      </c>
      <c r="J38" t="s">
        <v>491</v>
      </c>
      <c r="K38" t="s">
        <v>495</v>
      </c>
      <c r="L38" s="7">
        <v>2.706</v>
      </c>
      <c r="M38" s="8">
        <v>42495</v>
      </c>
      <c r="N38">
        <v>5</v>
      </c>
      <c r="O38" t="s">
        <v>57</v>
      </c>
      <c r="P38">
        <v>2016</v>
      </c>
      <c r="Q38">
        <v>0.15989999999999999</v>
      </c>
      <c r="R38" s="10">
        <v>0.05</v>
      </c>
      <c r="S38">
        <f>ROUND(ТабCЕС[[#This Row],[Зелений Тариф ЕЦ]]+ТабCЕС[[#This Row],[Зелений Тариф ЕЦ]]*ТабCЕС[[#This Row],[% надбавки]],4)</f>
        <v>0.16789999999999999</v>
      </c>
      <c r="T38" s="8">
        <v>43144</v>
      </c>
      <c r="U38">
        <v>0.11799999999999999</v>
      </c>
      <c r="V38">
        <v>0.21000000000000002</v>
      </c>
      <c r="W38">
        <v>0.35900000000000004</v>
      </c>
      <c r="X38">
        <v>0.38300000000000001</v>
      </c>
      <c r="Y38">
        <v>0.46599999999999997</v>
      </c>
      <c r="Z38">
        <v>0.44500000000000006</v>
      </c>
      <c r="AA38">
        <v>0.46799999999999975</v>
      </c>
      <c r="AB38">
        <v>0.44500000000000028</v>
      </c>
      <c r="AC38">
        <v>0.40700000000000003</v>
      </c>
      <c r="AD38">
        <v>0.23599999999999977</v>
      </c>
      <c r="AE38">
        <v>0.125</v>
      </c>
      <c r="AF38">
        <v>8.3000000000000185E-2</v>
      </c>
      <c r="AG38">
        <v>0.107</v>
      </c>
      <c r="AH38">
        <v>0.11899999999999999</v>
      </c>
      <c r="AI38">
        <v>0.23</v>
      </c>
      <c r="AJ38">
        <v>0.438</v>
      </c>
      <c r="AK38">
        <v>0.48199999999999998</v>
      </c>
      <c r="AL38">
        <v>0.44</v>
      </c>
      <c r="AM38">
        <v>0.42</v>
      </c>
      <c r="AN38">
        <v>0.47899999999999998</v>
      </c>
      <c r="AO38">
        <v>0.35399999999999998</v>
      </c>
      <c r="AP38">
        <v>0.35199999999999998</v>
      </c>
      <c r="AQ38">
        <v>0.115</v>
      </c>
      <c r="AR38">
        <v>5.3999999999999999E-2</v>
      </c>
      <c r="AS38">
        <v>8.5999999999999993E-2</v>
      </c>
      <c r="AT38">
        <v>0.19400000000000001</v>
      </c>
      <c r="AU38">
        <v>0.38100000000000001</v>
      </c>
      <c r="AV38">
        <v>0.42399999999999999</v>
      </c>
      <c r="AW38">
        <v>0.433</v>
      </c>
      <c r="AX38">
        <v>0.44400000000000001</v>
      </c>
      <c r="AY38">
        <v>0.442</v>
      </c>
      <c r="AZ38">
        <v>0.42899999999999999</v>
      </c>
    </row>
    <row r="39" spans="2:52">
      <c r="B39" t="s">
        <v>496</v>
      </c>
      <c r="C39">
        <v>34524327</v>
      </c>
      <c r="D39" t="s">
        <v>384</v>
      </c>
      <c r="F39" s="1" t="s">
        <v>497</v>
      </c>
      <c r="G39" s="1" t="s">
        <v>384</v>
      </c>
      <c r="H39" t="s">
        <v>101</v>
      </c>
      <c r="I39" t="s">
        <v>498</v>
      </c>
      <c r="K39" t="s">
        <v>499</v>
      </c>
      <c r="L39" s="7">
        <v>0.08</v>
      </c>
      <c r="M39" s="8">
        <v>42215</v>
      </c>
      <c r="N39">
        <v>7</v>
      </c>
      <c r="O39" t="s">
        <v>60</v>
      </c>
      <c r="P39">
        <v>2015</v>
      </c>
      <c r="Q39">
        <v>0.30530000000000002</v>
      </c>
      <c r="R39" s="10"/>
      <c r="S39">
        <f>ROUND(ТабCЕС[[#This Row],[Зелений Тариф ЕЦ]]+ТабCЕС[[#This Row],[Зелений Тариф ЕЦ]]*ТабCЕС[[#This Row],[% надбавки]],4)</f>
        <v>0.30530000000000002</v>
      </c>
      <c r="T39" s="8"/>
      <c r="U39">
        <v>4.0000000000000001E-3</v>
      </c>
      <c r="V39">
        <v>4.0000000000000001E-3</v>
      </c>
      <c r="W39">
        <v>8.0000000000000002E-3</v>
      </c>
      <c r="X39">
        <v>9.9999999999999985E-3</v>
      </c>
      <c r="Y39">
        <v>1.2E-2</v>
      </c>
      <c r="Z39">
        <v>1.2000000000000004E-2</v>
      </c>
      <c r="AA39">
        <v>1.1999999999999997E-2</v>
      </c>
      <c r="AB39">
        <v>1.0999999999999996E-2</v>
      </c>
      <c r="AC39">
        <v>1.0000000000000009E-2</v>
      </c>
      <c r="AD39">
        <v>4.9999999999999906E-3</v>
      </c>
      <c r="AE39">
        <v>2.0000000000000018E-3</v>
      </c>
      <c r="AF39">
        <v>3.0000000000000027E-3</v>
      </c>
      <c r="AG39">
        <v>3.0000000000000001E-3</v>
      </c>
      <c r="AH39">
        <v>3.0000000000000001E-3</v>
      </c>
      <c r="AI39">
        <v>6.0000000000000001E-3</v>
      </c>
      <c r="AJ39">
        <v>1.0999999999999999E-2</v>
      </c>
      <c r="AK39">
        <v>0.01</v>
      </c>
      <c r="AL39">
        <v>1.0999999999999999E-2</v>
      </c>
      <c r="AM39">
        <v>0.01</v>
      </c>
      <c r="AN39">
        <v>1.2E-2</v>
      </c>
      <c r="AO39">
        <v>8.0000000000000002E-3</v>
      </c>
      <c r="AP39">
        <v>8.9999999999999993E-3</v>
      </c>
      <c r="AQ39">
        <v>3.0000000000000001E-3</v>
      </c>
      <c r="AR39">
        <v>2E-3</v>
      </c>
      <c r="AS39">
        <v>2E-3</v>
      </c>
      <c r="AT39">
        <v>4.0000000000000001E-3</v>
      </c>
      <c r="AU39">
        <v>0.01</v>
      </c>
      <c r="AV39">
        <v>0.01</v>
      </c>
      <c r="AW39">
        <v>0.01</v>
      </c>
      <c r="AX39">
        <v>7.0000000000000001E-3</v>
      </c>
      <c r="AY39">
        <v>0</v>
      </c>
      <c r="AZ39">
        <v>8.0000000000000002E-3</v>
      </c>
    </row>
    <row r="40" spans="2:52">
      <c r="C40" t="s">
        <v>58</v>
      </c>
      <c r="D40" t="s">
        <v>384</v>
      </c>
      <c r="F40" s="1" t="s">
        <v>500</v>
      </c>
      <c r="G40" s="1" t="s">
        <v>384</v>
      </c>
      <c r="H40" t="s">
        <v>136</v>
      </c>
      <c r="I40" t="s">
        <v>501</v>
      </c>
      <c r="J40" t="s">
        <v>502</v>
      </c>
      <c r="K40" t="s">
        <v>503</v>
      </c>
      <c r="L40" s="7">
        <v>9.2959999999999994</v>
      </c>
      <c r="M40" s="8">
        <v>43361</v>
      </c>
      <c r="N40">
        <v>9</v>
      </c>
      <c r="O40" t="s">
        <v>60</v>
      </c>
      <c r="P40">
        <v>2018</v>
      </c>
      <c r="Q40">
        <v>0.15029999999999999</v>
      </c>
      <c r="R40" s="10"/>
      <c r="S40">
        <f>ROUND(ТабCЕС[[#This Row],[Зелений Тариф ЕЦ]]+ТабCЕС[[#This Row],[Зелений Тариф ЕЦ]]*ТабCЕС[[#This Row],[% надбавки]],4)</f>
        <v>0.15029999999999999</v>
      </c>
      <c r="T40" s="8"/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0.36099999999999999</v>
      </c>
      <c r="AR40">
        <v>0.107</v>
      </c>
      <c r="AS40">
        <v>0.22600000000000001</v>
      </c>
      <c r="AT40">
        <v>0.45400000000000001</v>
      </c>
      <c r="AU40">
        <v>1.0169999999999999</v>
      </c>
      <c r="AV40">
        <v>1.383</v>
      </c>
      <c r="AW40">
        <v>1.4239999999999999</v>
      </c>
      <c r="AX40">
        <v>1.6080000000000001</v>
      </c>
      <c r="AY40">
        <v>1.6339999999999999</v>
      </c>
      <c r="AZ40">
        <v>1.47</v>
      </c>
    </row>
    <row r="41" spans="2:52">
      <c r="C41" t="s">
        <v>58</v>
      </c>
      <c r="D41" t="s">
        <v>384</v>
      </c>
      <c r="F41" s="1" t="s">
        <v>504</v>
      </c>
      <c r="G41" s="1" t="s">
        <v>384</v>
      </c>
      <c r="H41" t="s">
        <v>69</v>
      </c>
      <c r="I41" t="s">
        <v>217</v>
      </c>
      <c r="J41" t="s">
        <v>217</v>
      </c>
      <c r="K41" t="s">
        <v>505</v>
      </c>
      <c r="L41" s="7">
        <v>12.294</v>
      </c>
      <c r="M41" s="8">
        <v>43627</v>
      </c>
      <c r="N41">
        <v>6</v>
      </c>
      <c r="O41" t="s">
        <v>57</v>
      </c>
      <c r="P41">
        <v>2019</v>
      </c>
      <c r="Q41">
        <v>0.15029999999999999</v>
      </c>
      <c r="R41" s="10"/>
      <c r="S41">
        <f>ROUND(ТабCЕС[[#This Row],[Зелений Тариф ЕЦ]]+ТабCЕС[[#This Row],[Зелений Тариф ЕЦ]]*ТабCЕС[[#This Row],[% надбавки]],4)</f>
        <v>0.15029999999999999</v>
      </c>
      <c r="T41" s="8"/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1.5680000000000001</v>
      </c>
      <c r="AZ41">
        <v>1.9650000000000001</v>
      </c>
    </row>
    <row r="42" spans="2:52">
      <c r="B42" t="s">
        <v>506</v>
      </c>
      <c r="C42">
        <v>38134939</v>
      </c>
      <c r="D42" t="s">
        <v>384</v>
      </c>
      <c r="F42" s="1" t="s">
        <v>507</v>
      </c>
      <c r="G42" s="1" t="s">
        <v>508</v>
      </c>
      <c r="H42" t="s">
        <v>198</v>
      </c>
      <c r="I42" t="s">
        <v>509</v>
      </c>
      <c r="J42" t="s">
        <v>510</v>
      </c>
      <c r="K42" t="s">
        <v>511</v>
      </c>
      <c r="L42" s="7">
        <v>0.8</v>
      </c>
      <c r="M42" s="8">
        <v>42621</v>
      </c>
      <c r="N42">
        <v>9</v>
      </c>
      <c r="O42" t="s">
        <v>60</v>
      </c>
      <c r="P42">
        <v>2016</v>
      </c>
      <c r="Q42">
        <v>0.15989999999999999</v>
      </c>
      <c r="R42" s="10"/>
      <c r="S42">
        <f>ROUND(ТабCЕС[[#This Row],[Зелений Тариф ЕЦ]]+ТабCЕС[[#This Row],[Зелений Тариф ЕЦ]]*ТабCЕС[[#This Row],[% надбавки]],4)</f>
        <v>0.15989999999999999</v>
      </c>
      <c r="T42" s="8"/>
      <c r="U42">
        <v>0.06</v>
      </c>
      <c r="V42">
        <v>0.14200000000000002</v>
      </c>
      <c r="W42">
        <v>0.23299999999999998</v>
      </c>
      <c r="X42">
        <v>0.35000000000000003</v>
      </c>
      <c r="Y42">
        <v>0.3929999999999999</v>
      </c>
      <c r="Z42">
        <v>0.41200000000000014</v>
      </c>
      <c r="AA42">
        <v>0.39799999999999991</v>
      </c>
      <c r="AB42">
        <v>0.35999999999999988</v>
      </c>
      <c r="AC42">
        <v>0.27200000000000024</v>
      </c>
      <c r="AD42">
        <v>0.13099999999999978</v>
      </c>
      <c r="AE42">
        <v>6.899999999999995E-2</v>
      </c>
      <c r="AF42">
        <v>3.8000000000000256E-2</v>
      </c>
      <c r="AG42">
        <v>8.3000000000000004E-2</v>
      </c>
      <c r="AH42">
        <v>0.13700000000000001</v>
      </c>
      <c r="AI42">
        <v>0.222</v>
      </c>
      <c r="AJ42">
        <v>0.39200000000000002</v>
      </c>
      <c r="AK42">
        <v>0.41299999999999998</v>
      </c>
      <c r="AL42">
        <v>0.38400000000000001</v>
      </c>
      <c r="AM42">
        <v>0.35499999999999998</v>
      </c>
      <c r="AN42">
        <v>0.40899999999999997</v>
      </c>
      <c r="AO42">
        <v>0.25900000000000001</v>
      </c>
      <c r="AP42">
        <v>0.23200000000000001</v>
      </c>
      <c r="AQ42">
        <v>8.5000000000000006E-2</v>
      </c>
      <c r="AR42">
        <v>3.7999999999999999E-2</v>
      </c>
      <c r="AS42">
        <v>5.5E-2</v>
      </c>
      <c r="AT42">
        <v>0.14000000000000001</v>
      </c>
      <c r="AU42">
        <v>0.222</v>
      </c>
      <c r="AV42">
        <v>0.33900000000000002</v>
      </c>
      <c r="AW42">
        <v>0.33100000000000002</v>
      </c>
      <c r="AX42">
        <v>0.42099999999999999</v>
      </c>
      <c r="AY42">
        <v>0.38100000000000001</v>
      </c>
      <c r="AZ42">
        <v>0.38700000000000001</v>
      </c>
    </row>
    <row r="43" spans="2:52">
      <c r="B43" t="s">
        <v>506</v>
      </c>
      <c r="C43">
        <v>38134939</v>
      </c>
      <c r="D43" t="s">
        <v>384</v>
      </c>
      <c r="F43" s="1" t="s">
        <v>507</v>
      </c>
      <c r="G43" s="1" t="s">
        <v>512</v>
      </c>
      <c r="H43" t="s">
        <v>198</v>
      </c>
      <c r="I43" t="s">
        <v>509</v>
      </c>
      <c r="J43" t="s">
        <v>510</v>
      </c>
      <c r="K43" t="s">
        <v>511</v>
      </c>
      <c r="L43" s="7">
        <v>0.8</v>
      </c>
      <c r="M43" s="8">
        <v>42649</v>
      </c>
      <c r="N43">
        <v>10</v>
      </c>
      <c r="O43" t="s">
        <v>71</v>
      </c>
      <c r="P43">
        <v>2016</v>
      </c>
      <c r="Q43">
        <v>0.15989999999999999</v>
      </c>
      <c r="R43" s="10"/>
      <c r="S43">
        <f>ROUND(ТабCЕС[[#This Row],[Зелений Тариф ЕЦ]]+ТабCЕС[[#This Row],[Зелений Тариф ЕЦ]]*ТабCЕС[[#This Row],[% надбавки]],4)</f>
        <v>0.15989999999999999</v>
      </c>
      <c r="T43" s="8"/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2:52">
      <c r="B44" t="s">
        <v>506</v>
      </c>
      <c r="C44">
        <v>38134939</v>
      </c>
      <c r="D44" t="s">
        <v>384</v>
      </c>
      <c r="F44" s="1" t="s">
        <v>507</v>
      </c>
      <c r="G44" s="1" t="s">
        <v>513</v>
      </c>
      <c r="H44" t="s">
        <v>198</v>
      </c>
      <c r="I44" t="s">
        <v>509</v>
      </c>
      <c r="J44" t="s">
        <v>510</v>
      </c>
      <c r="K44" t="s">
        <v>511</v>
      </c>
      <c r="L44" s="7">
        <v>0.81799999999999995</v>
      </c>
      <c r="M44" s="8">
        <v>42684</v>
      </c>
      <c r="N44">
        <v>11</v>
      </c>
      <c r="O44" t="s">
        <v>71</v>
      </c>
      <c r="P44">
        <v>2016</v>
      </c>
      <c r="Q44">
        <v>0.15989999999999999</v>
      </c>
      <c r="R44" s="10"/>
      <c r="S44">
        <f>ROUND(ТабCЕС[[#This Row],[Зелений Тариф ЕЦ]]+ТабCЕС[[#This Row],[Зелений Тариф ЕЦ]]*ТабCЕС[[#This Row],[% надбавки]],4)</f>
        <v>0.15989999999999999</v>
      </c>
      <c r="T44" s="8"/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2:52">
      <c r="B45" t="s">
        <v>514</v>
      </c>
      <c r="C45">
        <v>37058475</v>
      </c>
      <c r="D45" t="s">
        <v>384</v>
      </c>
      <c r="F45" s="1" t="s">
        <v>515</v>
      </c>
      <c r="G45" s="1" t="s">
        <v>384</v>
      </c>
      <c r="H45" t="s">
        <v>198</v>
      </c>
      <c r="I45" t="s">
        <v>516</v>
      </c>
      <c r="J45" t="s">
        <v>517</v>
      </c>
      <c r="K45" t="s">
        <v>517</v>
      </c>
      <c r="L45" s="7">
        <v>1.002</v>
      </c>
      <c r="M45" s="8">
        <v>41270</v>
      </c>
      <c r="N45">
        <v>12</v>
      </c>
      <c r="O45" t="s">
        <v>71</v>
      </c>
      <c r="P45">
        <v>2012</v>
      </c>
      <c r="Q45">
        <v>0.46529999999999999</v>
      </c>
      <c r="R45" s="10"/>
      <c r="S45">
        <f>ROUND(ТабCЕС[[#This Row],[Зелений Тариф ЕЦ]]+ТабCЕС[[#This Row],[Зелений Тариф ЕЦ]]*ТабCЕС[[#This Row],[% надбавки]],4)</f>
        <v>0.46529999999999999</v>
      </c>
      <c r="T45" s="8"/>
      <c r="U45">
        <v>4.2999999999999997E-2</v>
      </c>
      <c r="V45">
        <v>6.0999999999999999E-2</v>
      </c>
      <c r="W45">
        <v>0.108</v>
      </c>
      <c r="X45">
        <v>0.14799999999999999</v>
      </c>
      <c r="Y45">
        <v>0.16700000000000004</v>
      </c>
      <c r="Z45">
        <v>0.17799999999999994</v>
      </c>
      <c r="AA45">
        <v>0.16500000000000004</v>
      </c>
      <c r="AB45">
        <v>0.16299999999999992</v>
      </c>
      <c r="AC45">
        <v>0.11899999999999999</v>
      </c>
      <c r="AD45">
        <v>7.1000000000000174E-2</v>
      </c>
      <c r="AE45">
        <v>2.6999999999999913E-2</v>
      </c>
      <c r="AF45">
        <v>2.0999999999999908E-2</v>
      </c>
      <c r="AG45">
        <v>4.4999999999999998E-2</v>
      </c>
      <c r="AH45">
        <v>5.2999999999999999E-2</v>
      </c>
      <c r="AI45">
        <v>9.9000000000000005E-2</v>
      </c>
      <c r="AJ45">
        <v>0.17799999999999999</v>
      </c>
      <c r="AK45">
        <v>0.18</v>
      </c>
      <c r="AL45">
        <v>0.155</v>
      </c>
      <c r="AM45">
        <v>0.16500000000000001</v>
      </c>
      <c r="AN45">
        <v>0.18099999999999999</v>
      </c>
      <c r="AO45">
        <v>0.123</v>
      </c>
      <c r="AP45">
        <v>0.122</v>
      </c>
      <c r="AQ45">
        <v>3.2000000000000001E-2</v>
      </c>
      <c r="AR45">
        <v>1.7000000000000001E-2</v>
      </c>
      <c r="AS45">
        <v>2.7E-2</v>
      </c>
      <c r="AT45">
        <v>5.2999999999999999E-2</v>
      </c>
      <c r="AU45">
        <v>0.109</v>
      </c>
      <c r="AV45">
        <v>0.152</v>
      </c>
      <c r="AW45">
        <v>0.14000000000000001</v>
      </c>
      <c r="AX45">
        <v>0.16700000000000001</v>
      </c>
      <c r="AY45">
        <v>0.159</v>
      </c>
      <c r="AZ45">
        <v>0.187</v>
      </c>
    </row>
    <row r="46" spans="2:52">
      <c r="B46" t="s">
        <v>518</v>
      </c>
      <c r="C46">
        <v>37908677</v>
      </c>
      <c r="D46" t="s">
        <v>384</v>
      </c>
      <c r="F46" s="1" t="s">
        <v>519</v>
      </c>
      <c r="G46" s="1" t="s">
        <v>408</v>
      </c>
      <c r="H46" t="s">
        <v>255</v>
      </c>
      <c r="I46" t="s">
        <v>520</v>
      </c>
      <c r="K46" t="s">
        <v>521</v>
      </c>
      <c r="L46" s="7">
        <v>0.24084134615384614</v>
      </c>
      <c r="M46" s="8">
        <v>41389</v>
      </c>
      <c r="N46">
        <v>4</v>
      </c>
      <c r="O46" t="s">
        <v>57</v>
      </c>
      <c r="P46">
        <v>2013</v>
      </c>
      <c r="Q46">
        <v>0.46529999999999999</v>
      </c>
      <c r="R46" s="10"/>
      <c r="S46">
        <f>ROUND(ТабCЕС[[#This Row],[Зелений Тариф ЕЦ]]+ТабCЕС[[#This Row],[Зелений Тариф ЕЦ]]*ТабCЕС[[#This Row],[% надбавки]],4)</f>
        <v>0.46529999999999999</v>
      </c>
      <c r="T46" s="8"/>
      <c r="U46">
        <v>7.3999999999999996E-2</v>
      </c>
      <c r="V46">
        <v>9.1000000000000011E-2</v>
      </c>
      <c r="W46">
        <v>-0.10200000000000001</v>
      </c>
      <c r="X46">
        <v>3.9999999999999994E-2</v>
      </c>
      <c r="Y46">
        <v>4.2999999999999997E-2</v>
      </c>
      <c r="Z46">
        <v>4.8000000000000015E-2</v>
      </c>
      <c r="AA46">
        <v>4.7999999999999987E-2</v>
      </c>
      <c r="AB46">
        <v>4.4999999999999984E-2</v>
      </c>
      <c r="AC46">
        <v>3.6000000000000032E-2</v>
      </c>
      <c r="AD46">
        <v>1.7000000000000015E-2</v>
      </c>
      <c r="AE46">
        <v>5.9999999999999498E-3</v>
      </c>
      <c r="AF46">
        <v>4.0000000000000036E-3</v>
      </c>
      <c r="AG46">
        <v>8.9999999999999993E-3</v>
      </c>
      <c r="AH46">
        <v>0.01</v>
      </c>
      <c r="AI46">
        <v>2.1000000000000001E-2</v>
      </c>
      <c r="AJ46">
        <v>3.1E-2</v>
      </c>
      <c r="AK46">
        <v>3.3000000000000002E-2</v>
      </c>
      <c r="AL46">
        <v>2.8000000000000001E-2</v>
      </c>
      <c r="AM46">
        <v>2.8000000000000001E-2</v>
      </c>
      <c r="AN46">
        <v>3.1000000000000003E-2</v>
      </c>
      <c r="AO46">
        <v>2.3E-2</v>
      </c>
      <c r="AP46">
        <v>1.9E-2</v>
      </c>
      <c r="AQ46">
        <v>7.0000000000000001E-3</v>
      </c>
      <c r="AR46">
        <v>4.0000000000000001E-3</v>
      </c>
      <c r="AS46">
        <v>5.0000000000000001E-3</v>
      </c>
      <c r="AT46">
        <v>8.9999999999999993E-3</v>
      </c>
      <c r="AU46">
        <v>2.1000000000000001E-2</v>
      </c>
      <c r="AV46">
        <v>2.7E-2</v>
      </c>
      <c r="AW46">
        <v>2.4E-2</v>
      </c>
      <c r="AX46">
        <v>3.9E-2</v>
      </c>
      <c r="AY46">
        <v>4.7E-2</v>
      </c>
      <c r="AZ46">
        <v>4.5999999999999999E-2</v>
      </c>
    </row>
    <row r="47" spans="2:52">
      <c r="B47" t="s">
        <v>522</v>
      </c>
      <c r="C47">
        <v>37908677</v>
      </c>
      <c r="D47" t="s">
        <v>384</v>
      </c>
      <c r="F47" s="1" t="s">
        <v>519</v>
      </c>
      <c r="G47" s="1" t="s">
        <v>410</v>
      </c>
      <c r="H47" t="s">
        <v>198</v>
      </c>
      <c r="I47" t="s">
        <v>520</v>
      </c>
      <c r="K47" t="s">
        <v>523</v>
      </c>
      <c r="L47" s="7">
        <v>1.3484314903846153</v>
      </c>
      <c r="M47" s="8">
        <v>41389</v>
      </c>
      <c r="N47">
        <v>4</v>
      </c>
      <c r="O47" t="s">
        <v>57</v>
      </c>
      <c r="P47">
        <v>2013</v>
      </c>
      <c r="Q47">
        <v>0.33929999999999999</v>
      </c>
      <c r="R47" s="10"/>
      <c r="S47">
        <f>ROUND(ТабCЕС[[#This Row],[Зелений Тариф ЕЦ]]+ТабCЕС[[#This Row],[Зелений Тариф ЕЦ]]*ТабCЕС[[#This Row],[% надбавки]],4)</f>
        <v>0.33929999999999999</v>
      </c>
      <c r="T47" s="8"/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5.6000000000000001E-2</v>
      </c>
      <c r="AH47">
        <v>6.0999999999999999E-2</v>
      </c>
      <c r="AI47">
        <v>0.10299999999999999</v>
      </c>
      <c r="AJ47">
        <v>0.19800000000000001</v>
      </c>
      <c r="AK47">
        <v>0.20899999999999999</v>
      </c>
      <c r="AL47">
        <v>0.182</v>
      </c>
      <c r="AM47">
        <v>0.17899999999999999</v>
      </c>
      <c r="AN47">
        <v>0.222</v>
      </c>
      <c r="AO47">
        <v>0.152</v>
      </c>
      <c r="AP47">
        <v>0.14000000000000001</v>
      </c>
      <c r="AQ47">
        <v>4.2000000000000003E-2</v>
      </c>
      <c r="AR47">
        <v>2.5999999999999999E-2</v>
      </c>
      <c r="AS47">
        <v>2.9000000000000001E-2</v>
      </c>
      <c r="AT47">
        <v>5.8000000000000003E-2</v>
      </c>
      <c r="AU47">
        <v>0.13300000000000001</v>
      </c>
      <c r="AV47">
        <v>0.17199999999999999</v>
      </c>
      <c r="AW47">
        <v>0.16</v>
      </c>
      <c r="AX47">
        <v>0.20899999999999999</v>
      </c>
      <c r="AY47">
        <v>0.20200000000000001</v>
      </c>
      <c r="AZ47">
        <v>0.20399999999999999</v>
      </c>
    </row>
    <row r="48" spans="2:52">
      <c r="B48" t="s">
        <v>524</v>
      </c>
      <c r="C48">
        <v>37908677</v>
      </c>
      <c r="D48" t="s">
        <v>384</v>
      </c>
      <c r="F48" s="1" t="s">
        <v>519</v>
      </c>
      <c r="G48" s="1" t="s">
        <v>525</v>
      </c>
      <c r="H48" t="s">
        <v>198</v>
      </c>
      <c r="I48" t="s">
        <v>520</v>
      </c>
      <c r="K48" t="s">
        <v>526</v>
      </c>
      <c r="L48" s="7">
        <v>0.74072716346153844</v>
      </c>
      <c r="M48" s="8">
        <v>42509</v>
      </c>
      <c r="N48">
        <v>5</v>
      </c>
      <c r="O48" t="s">
        <v>57</v>
      </c>
      <c r="P48">
        <v>2016</v>
      </c>
      <c r="Q48">
        <v>0.1696</v>
      </c>
      <c r="R48" s="10"/>
      <c r="S48">
        <f>ROUND(ТабCЕС[[#This Row],[Зелений Тариф ЕЦ]]+ТабCЕС[[#This Row],[Зелений Тариф ЕЦ]]*ТабCЕС[[#This Row],[% надбавки]],4)</f>
        <v>0.1696</v>
      </c>
      <c r="T48" s="8"/>
      <c r="U48">
        <v>3.3000000000000002E-2</v>
      </c>
      <c r="V48">
        <v>4.0999999999999995E-2</v>
      </c>
      <c r="W48">
        <v>7.8E-2</v>
      </c>
      <c r="X48">
        <v>9.7000000000000003E-2</v>
      </c>
      <c r="Y48">
        <v>0.10599999999999998</v>
      </c>
      <c r="Z48">
        <v>0.11799999999999999</v>
      </c>
      <c r="AA48">
        <v>0.11799999999999999</v>
      </c>
      <c r="AB48">
        <v>0.10899999999999999</v>
      </c>
      <c r="AC48">
        <v>8.6000000000000076E-2</v>
      </c>
      <c r="AD48">
        <v>4.4999999999999929E-2</v>
      </c>
      <c r="AE48">
        <v>2.0000000000000018E-2</v>
      </c>
      <c r="AF48">
        <v>1.6000000000000014E-2</v>
      </c>
      <c r="AG48">
        <v>3.2000000000000001E-2</v>
      </c>
      <c r="AH48">
        <v>3.5000000000000003E-2</v>
      </c>
      <c r="AI48">
        <v>5.8999999999999997E-2</v>
      </c>
      <c r="AJ48">
        <v>0.111</v>
      </c>
      <c r="AK48">
        <v>0.129</v>
      </c>
      <c r="AL48">
        <v>0.10299999999999999</v>
      </c>
      <c r="AM48">
        <v>9.2000000000000012E-2</v>
      </c>
      <c r="AN48">
        <v>0.121</v>
      </c>
      <c r="AO48">
        <v>8.2000000000000003E-2</v>
      </c>
      <c r="AP48">
        <v>6.9000000000000006E-2</v>
      </c>
      <c r="AQ48">
        <v>2.1999999999999999E-2</v>
      </c>
      <c r="AR48">
        <v>1.2999999999999999E-2</v>
      </c>
      <c r="AS48">
        <v>1.4E-2</v>
      </c>
      <c r="AT48">
        <v>3.2000000000000001E-2</v>
      </c>
      <c r="AU48">
        <v>7.3999999999999996E-2</v>
      </c>
      <c r="AV48">
        <v>9.5000000000000001E-2</v>
      </c>
      <c r="AW48">
        <v>8.5999999999999993E-2</v>
      </c>
      <c r="AX48">
        <v>0.11600000000000001</v>
      </c>
      <c r="AY48">
        <v>0.112</v>
      </c>
      <c r="AZ48">
        <v>0.111</v>
      </c>
    </row>
    <row r="49" spans="2:52">
      <c r="B49" t="s">
        <v>527</v>
      </c>
      <c r="C49">
        <v>37908677</v>
      </c>
      <c r="D49" t="s">
        <v>384</v>
      </c>
      <c r="F49" s="1" t="s">
        <v>519</v>
      </c>
      <c r="G49" s="1" t="s">
        <v>528</v>
      </c>
      <c r="H49" t="s">
        <v>198</v>
      </c>
      <c r="I49" t="s">
        <v>520</v>
      </c>
      <c r="K49" t="s">
        <v>529</v>
      </c>
      <c r="L49" s="7">
        <v>0.86399999999999999</v>
      </c>
      <c r="M49" s="8">
        <v>42831</v>
      </c>
      <c r="N49">
        <v>4</v>
      </c>
      <c r="O49" t="s">
        <v>57</v>
      </c>
      <c r="P49">
        <v>2017</v>
      </c>
      <c r="Q49">
        <v>0.15989999999999999</v>
      </c>
      <c r="R49" s="10"/>
      <c r="S49">
        <f>ROUND(ТабCЕС[[#This Row],[Зелений Тариф ЕЦ]]+ТабCЕС[[#This Row],[Зелений Тариф ЕЦ]]*ТабCЕС[[#This Row],[% надбавки]],4)</f>
        <v>0.15989999999999999</v>
      </c>
      <c r="T49" s="8"/>
      <c r="U49">
        <v>0</v>
      </c>
      <c r="V49">
        <v>0</v>
      </c>
      <c r="W49">
        <v>0</v>
      </c>
      <c r="X49">
        <v>0</v>
      </c>
      <c r="Y49">
        <v>0.127</v>
      </c>
      <c r="Z49">
        <v>0.14300000000000002</v>
      </c>
      <c r="AA49">
        <v>0.14199999999999996</v>
      </c>
      <c r="AB49">
        <v>0.13400000000000006</v>
      </c>
      <c r="AC49">
        <v>0.10399999999999998</v>
      </c>
      <c r="AD49">
        <v>5.5999999999999939E-2</v>
      </c>
      <c r="AE49">
        <v>2.5000000000000022E-2</v>
      </c>
      <c r="AF49">
        <v>2.200000000000002E-2</v>
      </c>
      <c r="AG49">
        <v>4.1000000000000002E-2</v>
      </c>
      <c r="AH49">
        <v>4.2999999999999997E-2</v>
      </c>
      <c r="AI49">
        <v>7.1999999999999995E-2</v>
      </c>
      <c r="AJ49">
        <v>0.13</v>
      </c>
      <c r="AK49">
        <v>0.121</v>
      </c>
      <c r="AL49">
        <v>0.104</v>
      </c>
      <c r="AM49">
        <v>0.11199999999999999</v>
      </c>
      <c r="AN49">
        <v>0.124</v>
      </c>
      <c r="AO49">
        <v>9.7000000000000003E-2</v>
      </c>
      <c r="AP49">
        <v>0.09</v>
      </c>
      <c r="AQ49">
        <v>0.03</v>
      </c>
      <c r="AR49">
        <v>1.9E-2</v>
      </c>
      <c r="AS49">
        <v>2.1000000000000001E-2</v>
      </c>
      <c r="AT49">
        <v>4.1000000000000002E-2</v>
      </c>
      <c r="AU49">
        <v>9.0999999999999998E-2</v>
      </c>
      <c r="AV49">
        <v>0.12</v>
      </c>
      <c r="AW49">
        <v>0.107</v>
      </c>
      <c r="AX49">
        <v>0.13600000000000001</v>
      </c>
      <c r="AY49">
        <v>0.129</v>
      </c>
      <c r="AZ49">
        <v>0.14099999999999999</v>
      </c>
    </row>
    <row r="50" spans="2:52">
      <c r="C50" t="s">
        <v>58</v>
      </c>
      <c r="D50" t="s">
        <v>384</v>
      </c>
      <c r="F50" s="1" t="s">
        <v>530</v>
      </c>
      <c r="G50" s="1" t="s">
        <v>531</v>
      </c>
      <c r="H50" t="s">
        <v>172</v>
      </c>
      <c r="I50" t="s">
        <v>532</v>
      </c>
      <c r="K50" t="s">
        <v>533</v>
      </c>
      <c r="L50" s="7">
        <v>2.9039999999999999</v>
      </c>
      <c r="M50" s="8">
        <v>43553</v>
      </c>
      <c r="N50">
        <v>3</v>
      </c>
      <c r="O50" t="s">
        <v>67</v>
      </c>
      <c r="P50">
        <v>2019</v>
      </c>
      <c r="Q50">
        <v>0.15029999999999999</v>
      </c>
      <c r="R50" s="10"/>
      <c r="S50">
        <f>ROUND(ТабCЕС[[#This Row],[Зелений Тариф ЕЦ]]+ТабCЕС[[#This Row],[Зелений Тариф ЕЦ]]*ТабCЕС[[#This Row],[% надбавки]],4)</f>
        <v>0.15029999999999999</v>
      </c>
      <c r="T50" s="8"/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0.19600000000000001</v>
      </c>
      <c r="AY50">
        <v>0.40100000000000002</v>
      </c>
      <c r="AZ50">
        <v>0.44400000000000001</v>
      </c>
    </row>
    <row r="51" spans="2:52">
      <c r="C51" t="s">
        <v>58</v>
      </c>
      <c r="D51" t="s">
        <v>384</v>
      </c>
      <c r="F51" s="1" t="s">
        <v>534</v>
      </c>
      <c r="G51" s="1" t="s">
        <v>384</v>
      </c>
      <c r="H51" t="s">
        <v>82</v>
      </c>
      <c r="I51" t="s">
        <v>535</v>
      </c>
      <c r="K51" t="s">
        <v>536</v>
      </c>
      <c r="L51" s="7">
        <v>13.574999999999999</v>
      </c>
      <c r="M51" s="8">
        <v>43553</v>
      </c>
      <c r="N51">
        <v>3</v>
      </c>
      <c r="O51" t="s">
        <v>67</v>
      </c>
      <c r="P51">
        <v>2019</v>
      </c>
      <c r="Q51">
        <v>0.15029999999999999</v>
      </c>
      <c r="R51" s="10"/>
      <c r="S51">
        <f>ROUND(ТабCЕС[[#This Row],[Зелений Тариф ЕЦ]]+ТабCЕС[[#This Row],[Зелений Тариф ЕЦ]]*ТабCЕС[[#This Row],[% надбавки]],4)</f>
        <v>0.15029999999999999</v>
      </c>
      <c r="T51" s="8"/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1.6919999999999999</v>
      </c>
      <c r="AW51">
        <v>2.0169999999999999</v>
      </c>
      <c r="AX51">
        <v>2.0259999999999998</v>
      </c>
      <c r="AY51">
        <v>2.0510000000000002</v>
      </c>
      <c r="AZ51">
        <v>2.1819999999999999</v>
      </c>
    </row>
    <row r="52" spans="2:52">
      <c r="C52" t="s">
        <v>58</v>
      </c>
      <c r="D52" t="s">
        <v>384</v>
      </c>
      <c r="F52" s="1" t="s">
        <v>537</v>
      </c>
      <c r="G52" s="1" t="s">
        <v>408</v>
      </c>
      <c r="H52" t="s">
        <v>73</v>
      </c>
      <c r="I52" t="s">
        <v>538</v>
      </c>
      <c r="K52" t="s">
        <v>539</v>
      </c>
      <c r="L52" s="7">
        <v>1.149</v>
      </c>
      <c r="M52" s="8">
        <v>43130</v>
      </c>
      <c r="N52">
        <v>1</v>
      </c>
      <c r="O52" t="s">
        <v>67</v>
      </c>
      <c r="P52">
        <v>2018</v>
      </c>
      <c r="Q52">
        <v>0.15029999999999999</v>
      </c>
      <c r="R52" s="10"/>
      <c r="S52">
        <f>ROUND(ТабCЕС[[#This Row],[Зелений Тариф ЕЦ]]+ТабCЕС[[#This Row],[Зелений Тариф ЕЦ]]*ТабCЕС[[#This Row],[% надбавки]],4)</f>
        <v>0.15029999999999999</v>
      </c>
      <c r="T52" s="8"/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7.0000000000000007E-2</v>
      </c>
      <c r="AH52">
        <v>0.05</v>
      </c>
      <c r="AI52">
        <v>9.1999999999999998E-2</v>
      </c>
      <c r="AJ52">
        <v>0.19</v>
      </c>
      <c r="AK52">
        <v>0.19700000000000001</v>
      </c>
      <c r="AL52">
        <v>0.192</v>
      </c>
      <c r="AM52">
        <v>0.30299999999999999</v>
      </c>
      <c r="AN52">
        <v>0.35399999999999998</v>
      </c>
      <c r="AO52">
        <v>0.249</v>
      </c>
      <c r="AP52">
        <v>0.34499999999999997</v>
      </c>
      <c r="AQ52">
        <v>0.17499999999999999</v>
      </c>
      <c r="AR52">
        <v>0.08</v>
      </c>
      <c r="AS52">
        <v>0.108</v>
      </c>
      <c r="AT52">
        <v>0.222</v>
      </c>
      <c r="AU52">
        <v>0.54</v>
      </c>
      <c r="AV52">
        <v>0.623</v>
      </c>
      <c r="AW52">
        <v>0.65400000000000003</v>
      </c>
      <c r="AX52">
        <v>0.92700000000000005</v>
      </c>
      <c r="AY52">
        <v>0.95099999999999996</v>
      </c>
      <c r="AZ52">
        <v>0.95299999999999996</v>
      </c>
    </row>
    <row r="53" spans="2:52">
      <c r="C53" t="s">
        <v>58</v>
      </c>
      <c r="D53" t="s">
        <v>384</v>
      </c>
      <c r="F53" s="1" t="s">
        <v>537</v>
      </c>
      <c r="G53" s="1" t="s">
        <v>410</v>
      </c>
      <c r="H53" t="s">
        <v>73</v>
      </c>
      <c r="I53" t="s">
        <v>538</v>
      </c>
      <c r="K53" t="s">
        <v>539</v>
      </c>
      <c r="L53" s="7">
        <v>0.9</v>
      </c>
      <c r="M53" s="8">
        <v>43277</v>
      </c>
      <c r="N53">
        <v>6</v>
      </c>
      <c r="O53" t="s">
        <v>57</v>
      </c>
      <c r="P53">
        <v>2018</v>
      </c>
      <c r="Q53">
        <v>0.15029999999999999</v>
      </c>
      <c r="R53" s="10"/>
      <c r="S53">
        <f>ROUND(ТабCЕС[[#This Row],[Зелений Тариф ЕЦ]]+ТабCЕС[[#This Row],[Зелений Тариф ЕЦ]]*ТабCЕС[[#This Row],[% надбавки]],4)</f>
        <v>0.15029999999999999</v>
      </c>
      <c r="T53" s="8"/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2:52">
      <c r="C54" t="s">
        <v>58</v>
      </c>
      <c r="D54" t="s">
        <v>384</v>
      </c>
      <c r="F54" s="1" t="s">
        <v>537</v>
      </c>
      <c r="G54" s="1" t="s">
        <v>540</v>
      </c>
      <c r="H54" t="s">
        <v>73</v>
      </c>
      <c r="I54" t="s">
        <v>538</v>
      </c>
      <c r="K54" t="s">
        <v>541</v>
      </c>
      <c r="L54" s="7">
        <v>1.956</v>
      </c>
      <c r="M54" s="8">
        <v>43389</v>
      </c>
      <c r="N54">
        <v>10</v>
      </c>
      <c r="O54" t="s">
        <v>71</v>
      </c>
      <c r="P54">
        <v>2018</v>
      </c>
      <c r="Q54">
        <v>0.15029999999999999</v>
      </c>
      <c r="R54" s="10"/>
      <c r="S54">
        <f>ROUND(ТабCЕС[[#This Row],[Зелений Тариф ЕЦ]]+ТабCЕС[[#This Row],[Зелений Тариф ЕЦ]]*ТабCЕС[[#This Row],[% надбавки]],4)</f>
        <v>0.15029999999999999</v>
      </c>
      <c r="T54" s="8"/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2:52">
      <c r="C55" t="s">
        <v>58</v>
      </c>
      <c r="D55" t="s">
        <v>384</v>
      </c>
      <c r="F55" s="1" t="s">
        <v>537</v>
      </c>
      <c r="G55" s="1" t="s">
        <v>384</v>
      </c>
      <c r="H55" t="s">
        <v>73</v>
      </c>
      <c r="I55" t="s">
        <v>111</v>
      </c>
      <c r="K55" t="s">
        <v>542</v>
      </c>
      <c r="L55" s="7">
        <v>1.7709999999999999</v>
      </c>
      <c r="M55" s="8">
        <v>43602</v>
      </c>
      <c r="N55">
        <v>5</v>
      </c>
      <c r="O55" t="s">
        <v>57</v>
      </c>
      <c r="P55">
        <v>2019</v>
      </c>
      <c r="Q55">
        <v>0.15029999999999999</v>
      </c>
      <c r="R55" s="10"/>
      <c r="S55">
        <f>ROUND(ТабCЕС[[#This Row],[Зелений Тариф ЕЦ]]+ТабCЕС[[#This Row],[Зелений Тариф ЕЦ]]*ТабCЕС[[#This Row],[% надбавки]],4)</f>
        <v>0.15029999999999999</v>
      </c>
      <c r="T55" s="8"/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2:52">
      <c r="C56" t="s">
        <v>58</v>
      </c>
      <c r="D56" t="s">
        <v>384</v>
      </c>
      <c r="F56" s="1" t="s">
        <v>543</v>
      </c>
      <c r="G56" s="1" t="s">
        <v>408</v>
      </c>
      <c r="H56" t="s">
        <v>122</v>
      </c>
      <c r="I56" t="s">
        <v>544</v>
      </c>
      <c r="K56" t="s">
        <v>545</v>
      </c>
      <c r="L56" s="7">
        <v>0.85499999999999998</v>
      </c>
      <c r="M56" s="8">
        <v>43410</v>
      </c>
      <c r="N56">
        <v>11</v>
      </c>
      <c r="O56" t="s">
        <v>71</v>
      </c>
      <c r="P56">
        <v>2018</v>
      </c>
      <c r="Q56">
        <v>0.15029999999999999</v>
      </c>
      <c r="R56" s="10"/>
      <c r="S56">
        <f>ROUND(ТабCЕС[[#This Row],[Зелений Тариф ЕЦ]]+ТабCЕС[[#This Row],[Зелений Тариф ЕЦ]]*ТабCЕС[[#This Row],[% надбавки]],4)</f>
        <v>0.15029999999999999</v>
      </c>
      <c r="T56" s="8"/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0.21</v>
      </c>
      <c r="AY56">
        <v>0.21199999999999999</v>
      </c>
      <c r="AZ56">
        <v>0.19900000000000001</v>
      </c>
    </row>
    <row r="57" spans="2:52">
      <c r="C57" t="s">
        <v>58</v>
      </c>
      <c r="D57" t="s">
        <v>384</v>
      </c>
      <c r="F57" s="1" t="s">
        <v>543</v>
      </c>
      <c r="G57" s="1" t="s">
        <v>410</v>
      </c>
      <c r="H57" t="s">
        <v>122</v>
      </c>
      <c r="I57" t="s">
        <v>544</v>
      </c>
      <c r="K57" t="s">
        <v>545</v>
      </c>
      <c r="L57" s="7">
        <v>0.42699999999999999</v>
      </c>
      <c r="M57" s="8">
        <v>43550</v>
      </c>
      <c r="N57">
        <v>3</v>
      </c>
      <c r="O57" t="s">
        <v>67</v>
      </c>
      <c r="P57">
        <v>2019</v>
      </c>
      <c r="Q57">
        <v>0.15029999999999999</v>
      </c>
      <c r="R57" s="10"/>
      <c r="S57">
        <f>ROUND(ТабCЕС[[#This Row],[Зелений Тариф ЕЦ]]+ТабCЕС[[#This Row],[Зелений Тариф ЕЦ]]*ТабCЕС[[#This Row],[% надбавки]],4)</f>
        <v>0.15029999999999999</v>
      </c>
      <c r="T57" s="8"/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2:52">
      <c r="C58" t="s">
        <v>58</v>
      </c>
      <c r="D58" t="s">
        <v>384</v>
      </c>
      <c r="F58" s="1" t="s">
        <v>546</v>
      </c>
      <c r="G58" s="1" t="s">
        <v>384</v>
      </c>
      <c r="H58" t="s">
        <v>82</v>
      </c>
      <c r="I58" t="s">
        <v>535</v>
      </c>
      <c r="K58" t="s">
        <v>547</v>
      </c>
      <c r="L58" s="7">
        <v>5.1150000000000002</v>
      </c>
      <c r="M58" s="8">
        <v>43441</v>
      </c>
      <c r="N58">
        <v>12</v>
      </c>
      <c r="O58" t="s">
        <v>71</v>
      </c>
      <c r="P58">
        <v>2018</v>
      </c>
      <c r="Q58">
        <v>0.15029999999999999</v>
      </c>
      <c r="R58" s="10"/>
      <c r="S58">
        <f>ROUND(ТабCЕС[[#This Row],[Зелений Тариф ЕЦ]]+ТабCЕС[[#This Row],[Зелений Тариф ЕЦ]]*ТабCЕС[[#This Row],[% надбавки]],4)</f>
        <v>0.15029999999999999</v>
      </c>
      <c r="T58" s="8"/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9.2999999999999999E-2</v>
      </c>
      <c r="AU58">
        <v>0.66600000000000004</v>
      </c>
      <c r="AV58">
        <v>0.81299999999999994</v>
      </c>
      <c r="AW58">
        <v>0.72399999999999998</v>
      </c>
      <c r="AX58">
        <v>0.79300000000000004</v>
      </c>
      <c r="AY58">
        <v>0.83099999999999996</v>
      </c>
      <c r="AZ58">
        <v>0.85599999999999998</v>
      </c>
    </row>
    <row r="59" spans="2:52">
      <c r="C59" t="s">
        <v>58</v>
      </c>
      <c r="D59" t="s">
        <v>384</v>
      </c>
      <c r="F59" s="1" t="s">
        <v>548</v>
      </c>
      <c r="G59" s="1" t="s">
        <v>384</v>
      </c>
      <c r="H59" t="s">
        <v>82</v>
      </c>
      <c r="I59" t="s">
        <v>93</v>
      </c>
      <c r="K59" t="s">
        <v>549</v>
      </c>
      <c r="L59" s="7">
        <v>53.398000000000003</v>
      </c>
      <c r="M59" s="8">
        <v>41690</v>
      </c>
      <c r="N59">
        <v>2</v>
      </c>
      <c r="O59" t="s">
        <v>67</v>
      </c>
      <c r="P59">
        <v>2014</v>
      </c>
      <c r="Q59">
        <v>0.25850000000000001</v>
      </c>
      <c r="R59" s="10"/>
      <c r="S59">
        <f>ROUND(ТабCЕС[[#This Row],[Зелений Тариф ЕЦ]]+ТабCЕС[[#This Row],[Зелений Тариф ЕЦ]]*ТабCЕС[[#This Row],[% надбавки]],4)</f>
        <v>0.25850000000000001</v>
      </c>
      <c r="T59" s="8"/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8.093</v>
      </c>
      <c r="AN59">
        <v>9.359</v>
      </c>
      <c r="AO59">
        <v>5.0250000000000004</v>
      </c>
      <c r="AP59">
        <v>6.5910000000000002</v>
      </c>
      <c r="AQ59">
        <v>2.5750000000000002</v>
      </c>
      <c r="AR59">
        <v>1.0289999999999999</v>
      </c>
      <c r="AS59">
        <v>1.99</v>
      </c>
      <c r="AT59">
        <v>2.9969999999999999</v>
      </c>
      <c r="AU59">
        <v>7.1360000000000001</v>
      </c>
      <c r="AV59">
        <v>6.7290000000000001</v>
      </c>
      <c r="AW59">
        <v>8.0440000000000005</v>
      </c>
      <c r="AX59">
        <v>8.5009999999999994</v>
      </c>
      <c r="AY59">
        <v>8.1880000000000006</v>
      </c>
      <c r="AZ59">
        <v>8.7859999999999996</v>
      </c>
    </row>
    <row r="60" spans="2:52">
      <c r="C60" t="s">
        <v>58</v>
      </c>
      <c r="D60" t="s">
        <v>384</v>
      </c>
      <c r="F60" s="1" t="s">
        <v>550</v>
      </c>
      <c r="G60" s="1" t="s">
        <v>551</v>
      </c>
      <c r="H60" t="s">
        <v>176</v>
      </c>
      <c r="I60" t="s">
        <v>552</v>
      </c>
      <c r="K60" t="s">
        <v>553</v>
      </c>
      <c r="L60" s="7">
        <v>19.094000000000001</v>
      </c>
      <c r="M60" s="8">
        <v>43508</v>
      </c>
      <c r="N60">
        <v>2</v>
      </c>
      <c r="O60" t="s">
        <v>67</v>
      </c>
      <c r="P60">
        <v>2019</v>
      </c>
      <c r="Q60">
        <v>0.15029999999999999</v>
      </c>
      <c r="R60" s="10"/>
      <c r="S60">
        <f>ROUND(ТабCЕС[[#This Row],[Зелений Тариф ЕЦ]]+ТабCЕС[[#This Row],[Зелений Тариф ЕЦ]]*ТабCЕС[[#This Row],[% надбавки]],4)</f>
        <v>0.15029999999999999</v>
      </c>
      <c r="T60" s="8"/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2.2469999999999999</v>
      </c>
      <c r="AW60">
        <v>2.3660000000000001</v>
      </c>
      <c r="AX60">
        <v>3.22</v>
      </c>
      <c r="AY60">
        <v>2.8929999999999998</v>
      </c>
      <c r="AZ60">
        <v>3.0310000000000001</v>
      </c>
    </row>
    <row r="61" spans="2:52">
      <c r="C61" t="s">
        <v>58</v>
      </c>
      <c r="D61" t="s">
        <v>384</v>
      </c>
      <c r="F61" s="1" t="s">
        <v>554</v>
      </c>
      <c r="G61" s="1" t="s">
        <v>384</v>
      </c>
      <c r="H61" t="s">
        <v>62</v>
      </c>
      <c r="I61" t="s">
        <v>555</v>
      </c>
      <c r="J61" t="s">
        <v>556</v>
      </c>
      <c r="K61" t="s">
        <v>557</v>
      </c>
      <c r="L61" s="7">
        <v>3.0249999999999999</v>
      </c>
      <c r="M61" s="8">
        <v>43522</v>
      </c>
      <c r="N61">
        <v>2</v>
      </c>
      <c r="O61" t="s">
        <v>67</v>
      </c>
      <c r="P61">
        <v>2019</v>
      </c>
      <c r="Q61">
        <v>0.15029999999999999</v>
      </c>
      <c r="R61" s="10"/>
      <c r="S61">
        <f>ROUND(ТабCЕС[[#This Row],[Зелений Тариф ЕЦ]]+ТабCЕС[[#This Row],[Зелений Тариф ЕЦ]]*ТабCЕС[[#This Row],[% надбавки]],4)</f>
        <v>0.15029999999999999</v>
      </c>
      <c r="T61" s="8"/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6.6000000000000003E-2</v>
      </c>
      <c r="AU61">
        <v>0.28799999999999998</v>
      </c>
      <c r="AV61">
        <v>0.36399999999999999</v>
      </c>
      <c r="AW61">
        <v>0.35399999999999998</v>
      </c>
      <c r="AX61">
        <v>0.48899999999999999</v>
      </c>
      <c r="AY61">
        <v>0.46700000000000003</v>
      </c>
      <c r="AZ61">
        <v>0.436</v>
      </c>
    </row>
    <row r="62" spans="2:52">
      <c r="C62" t="s">
        <v>58</v>
      </c>
      <c r="D62" t="s">
        <v>384</v>
      </c>
      <c r="F62" s="1" t="s">
        <v>558</v>
      </c>
      <c r="G62" s="1" t="s">
        <v>559</v>
      </c>
      <c r="H62" t="s">
        <v>73</v>
      </c>
      <c r="I62" t="s">
        <v>538</v>
      </c>
      <c r="K62" t="s">
        <v>560</v>
      </c>
      <c r="L62" s="7">
        <v>4.0369999999999999</v>
      </c>
      <c r="M62" s="8">
        <v>43455</v>
      </c>
      <c r="N62">
        <v>12</v>
      </c>
      <c r="O62" t="s">
        <v>71</v>
      </c>
      <c r="P62">
        <v>2018</v>
      </c>
      <c r="Q62">
        <v>0.15029999999999999</v>
      </c>
      <c r="R62" s="10"/>
      <c r="S62">
        <f>ROUND(ТабCЕС[[#This Row],[Зелений Тариф ЕЦ]]+ТабCЕС[[#This Row],[Зелений Тариф ЕЦ]]*ТабCЕС[[#This Row],[% надбавки]],4)</f>
        <v>0.15029999999999999</v>
      </c>
      <c r="T62" s="8"/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0.222</v>
      </c>
      <c r="AU62">
        <v>0.54300000000000004</v>
      </c>
      <c r="AV62">
        <v>0.61199999999999999</v>
      </c>
      <c r="AW62">
        <v>0.66</v>
      </c>
      <c r="AX62">
        <v>0.64800000000000002</v>
      </c>
      <c r="AY62">
        <v>0.67</v>
      </c>
      <c r="AZ62">
        <v>0.67500000000000004</v>
      </c>
    </row>
    <row r="63" spans="2:52">
      <c r="B63" t="s">
        <v>561</v>
      </c>
      <c r="C63">
        <v>38301747</v>
      </c>
      <c r="D63" t="s">
        <v>384</v>
      </c>
      <c r="F63" s="1" t="s">
        <v>562</v>
      </c>
      <c r="G63" s="1" t="s">
        <v>384</v>
      </c>
      <c r="H63" t="s">
        <v>65</v>
      </c>
      <c r="I63" t="s">
        <v>247</v>
      </c>
      <c r="K63" t="s">
        <v>563</v>
      </c>
      <c r="L63" s="7">
        <v>3.9929999999999999</v>
      </c>
      <c r="M63" s="8">
        <v>41578</v>
      </c>
      <c r="N63">
        <v>10</v>
      </c>
      <c r="O63" t="s">
        <v>71</v>
      </c>
      <c r="P63">
        <v>2013</v>
      </c>
      <c r="Q63">
        <v>0.33929999999999999</v>
      </c>
      <c r="R63" s="10"/>
      <c r="S63">
        <f>ROUND(ТабCЕС[[#This Row],[Зелений Тариф ЕЦ]]+ТабCЕС[[#This Row],[Зелений Тариф ЕЦ]]*ТабCЕС[[#This Row],[% надбавки]],4)</f>
        <v>0.33929999999999999</v>
      </c>
      <c r="T63" s="8"/>
      <c r="U63">
        <v>0.151</v>
      </c>
      <c r="V63">
        <v>0.25700000000000001</v>
      </c>
      <c r="W63">
        <v>0.29199999999999998</v>
      </c>
      <c r="X63">
        <v>0.44799999999999995</v>
      </c>
      <c r="Y63">
        <v>0.502</v>
      </c>
      <c r="Z63">
        <v>0.58000000000000007</v>
      </c>
      <c r="AA63">
        <v>0.60099999999999998</v>
      </c>
      <c r="AB63">
        <v>0.56499999999999995</v>
      </c>
      <c r="AC63">
        <v>0.38700000000000001</v>
      </c>
      <c r="AD63">
        <v>0.30399999999999983</v>
      </c>
      <c r="AE63">
        <v>9.6000000000000085E-2</v>
      </c>
      <c r="AF63">
        <v>7.8999999999999737E-2</v>
      </c>
      <c r="AG63">
        <v>0.13400000000000001</v>
      </c>
      <c r="AH63">
        <v>0.112</v>
      </c>
      <c r="AI63">
        <v>0.28599999999999998</v>
      </c>
      <c r="AJ63">
        <v>0.55900000000000005</v>
      </c>
      <c r="AK63">
        <v>0.59399999999999997</v>
      </c>
      <c r="AL63">
        <v>0.46</v>
      </c>
      <c r="AM63">
        <v>0.49099999999999999</v>
      </c>
      <c r="AN63">
        <v>0.54700000000000004</v>
      </c>
      <c r="AO63">
        <v>0.45800000000000002</v>
      </c>
      <c r="AP63">
        <v>0.318</v>
      </c>
      <c r="AQ63">
        <v>8.5999999999999993E-2</v>
      </c>
      <c r="AR63">
        <v>4.7E-2</v>
      </c>
      <c r="AS63">
        <v>6.0999999999999999E-2</v>
      </c>
      <c r="AT63">
        <v>0.252</v>
      </c>
      <c r="AU63">
        <v>0.39700000000000002</v>
      </c>
      <c r="AV63">
        <v>0.443</v>
      </c>
      <c r="AW63">
        <v>0.432</v>
      </c>
      <c r="AX63">
        <v>0.57899999999999996</v>
      </c>
      <c r="AY63">
        <v>0.55900000000000005</v>
      </c>
      <c r="AZ63">
        <v>0.54500000000000004</v>
      </c>
    </row>
    <row r="64" spans="2:52">
      <c r="C64" t="s">
        <v>58</v>
      </c>
      <c r="D64" t="s">
        <v>384</v>
      </c>
      <c r="F64" s="1" t="s">
        <v>564</v>
      </c>
      <c r="G64" s="1" t="s">
        <v>384</v>
      </c>
      <c r="H64" t="s">
        <v>65</v>
      </c>
      <c r="I64" t="s">
        <v>247</v>
      </c>
      <c r="K64" t="s">
        <v>565</v>
      </c>
      <c r="L64" s="7">
        <v>4.4379999999999997</v>
      </c>
      <c r="M64" s="8">
        <v>42905</v>
      </c>
      <c r="N64">
        <v>6</v>
      </c>
      <c r="O64" t="s">
        <v>57</v>
      </c>
      <c r="P64">
        <v>2017</v>
      </c>
      <c r="Q64">
        <v>0.15989999999999999</v>
      </c>
      <c r="R64" s="10"/>
      <c r="S64">
        <f>ROUND(ТабCЕС[[#This Row],[Зелений Тариф ЕЦ]]+ТабCЕС[[#This Row],[Зелений Тариф ЕЦ]]*ТабCЕС[[#This Row],[% надбавки]],4)</f>
        <v>0.15989999999999999</v>
      </c>
      <c r="T64" s="8"/>
      <c r="U64">
        <v>0</v>
      </c>
      <c r="V64">
        <v>0</v>
      </c>
      <c r="W64">
        <v>0</v>
      </c>
      <c r="X64">
        <v>0</v>
      </c>
      <c r="Y64">
        <v>0</v>
      </c>
      <c r="Z64">
        <v>0.83399999999999996</v>
      </c>
      <c r="AA64">
        <v>0.68800000000000006</v>
      </c>
      <c r="AB64">
        <v>0.66700000000000004</v>
      </c>
      <c r="AC64">
        <v>0.44799999999999995</v>
      </c>
      <c r="AD64">
        <v>0.37800000000000011</v>
      </c>
      <c r="AE64">
        <v>0.11999999999999966</v>
      </c>
      <c r="AF64">
        <v>0.10200000000000031</v>
      </c>
      <c r="AG64">
        <v>0.17499999999999999</v>
      </c>
      <c r="AH64">
        <v>0.14199999999999999</v>
      </c>
      <c r="AI64">
        <v>0.317</v>
      </c>
      <c r="AJ64">
        <v>0.65900000000000003</v>
      </c>
      <c r="AK64">
        <v>0.67700000000000005</v>
      </c>
      <c r="AL64">
        <v>0.54500000000000004</v>
      </c>
      <c r="AM64">
        <v>0.58299999999999996</v>
      </c>
      <c r="AN64">
        <v>0.66200000000000003</v>
      </c>
      <c r="AO64">
        <v>0.54600000000000004</v>
      </c>
      <c r="AP64">
        <v>0.441</v>
      </c>
      <c r="AQ64">
        <v>0.109</v>
      </c>
      <c r="AR64">
        <v>6.3E-2</v>
      </c>
      <c r="AS64">
        <v>7.1999999999999995E-2</v>
      </c>
      <c r="AT64">
        <v>0.29899999999999999</v>
      </c>
      <c r="AU64">
        <v>0.46600000000000003</v>
      </c>
      <c r="AV64">
        <v>0.52300000000000002</v>
      </c>
      <c r="AW64">
        <v>0.50700000000000001</v>
      </c>
      <c r="AX64">
        <v>0.66700000000000004</v>
      </c>
      <c r="AY64">
        <v>0.69199999999999995</v>
      </c>
      <c r="AZ64">
        <v>0.65</v>
      </c>
    </row>
    <row r="65" spans="2:52">
      <c r="C65" t="s">
        <v>58</v>
      </c>
      <c r="D65" t="s">
        <v>384</v>
      </c>
      <c r="F65" s="1" t="s">
        <v>566</v>
      </c>
      <c r="G65" s="1" t="s">
        <v>384</v>
      </c>
      <c r="H65" t="s">
        <v>65</v>
      </c>
      <c r="I65" t="s">
        <v>247</v>
      </c>
      <c r="K65" t="s">
        <v>567</v>
      </c>
      <c r="L65" s="7">
        <v>4.016</v>
      </c>
      <c r="M65" s="8">
        <v>43522</v>
      </c>
      <c r="N65">
        <v>2</v>
      </c>
      <c r="O65" t="s">
        <v>67</v>
      </c>
      <c r="P65">
        <v>2019</v>
      </c>
      <c r="Q65">
        <v>0.15029999999999999</v>
      </c>
      <c r="R65" s="10"/>
      <c r="S65">
        <f>ROUND(ТабCЕС[[#This Row],[Зелений Тариф ЕЦ]]+ТабCЕС[[#This Row],[Зелений Тариф ЕЦ]]*ТабCЕС[[#This Row],[% надбавки]],4)</f>
        <v>0.15029999999999999</v>
      </c>
      <c r="T65" s="8"/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0.44600000000000001</v>
      </c>
      <c r="AW65">
        <v>0.42799999999999999</v>
      </c>
      <c r="AX65">
        <v>0.55800000000000005</v>
      </c>
      <c r="AY65">
        <v>0.56499999999999995</v>
      </c>
      <c r="AZ65">
        <v>0.56399999999999995</v>
      </c>
    </row>
    <row r="66" spans="2:52">
      <c r="C66" t="s">
        <v>58</v>
      </c>
      <c r="D66" t="s">
        <v>384</v>
      </c>
      <c r="F66" s="1" t="s">
        <v>568</v>
      </c>
      <c r="G66" s="1" t="s">
        <v>384</v>
      </c>
      <c r="H66" t="s">
        <v>65</v>
      </c>
      <c r="I66" t="s">
        <v>247</v>
      </c>
      <c r="K66" t="s">
        <v>569</v>
      </c>
      <c r="L66" s="7">
        <v>4.0389999999999997</v>
      </c>
      <c r="M66" s="8">
        <v>43613</v>
      </c>
      <c r="N66">
        <v>5</v>
      </c>
      <c r="O66" t="s">
        <v>57</v>
      </c>
      <c r="P66">
        <v>2019</v>
      </c>
      <c r="Q66">
        <v>0.15029999999999999</v>
      </c>
      <c r="R66" s="10"/>
      <c r="S66">
        <f>ROUND(ТабCЕС[[#This Row],[Зелений Тариф ЕЦ]]+ТабCЕС[[#This Row],[Зелений Тариф ЕЦ]]*ТабCЕС[[#This Row],[% надбавки]],4)</f>
        <v>0.15029999999999999</v>
      </c>
      <c r="T66" s="8"/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0.26500000000000001</v>
      </c>
      <c r="AX66">
        <v>0.57199999999999995</v>
      </c>
      <c r="AY66">
        <v>0.61099999999999999</v>
      </c>
      <c r="AZ66">
        <v>0.58599999999999997</v>
      </c>
    </row>
    <row r="67" spans="2:52">
      <c r="C67" t="s">
        <v>58</v>
      </c>
      <c r="D67" t="s">
        <v>384</v>
      </c>
      <c r="F67" s="1" t="s">
        <v>570</v>
      </c>
      <c r="G67" s="1" t="s">
        <v>408</v>
      </c>
      <c r="H67" t="s">
        <v>198</v>
      </c>
      <c r="I67" t="s">
        <v>571</v>
      </c>
      <c r="K67" t="s">
        <v>572</v>
      </c>
      <c r="L67" s="7">
        <v>2.5870000000000002</v>
      </c>
      <c r="M67" s="8">
        <v>43596</v>
      </c>
      <c r="N67">
        <v>5</v>
      </c>
      <c r="O67" t="s">
        <v>57</v>
      </c>
      <c r="P67">
        <v>2019</v>
      </c>
      <c r="Q67">
        <v>0.15029999999999999</v>
      </c>
      <c r="R67" s="10"/>
      <c r="S67">
        <f>ROUND(ТабCЕС[[#This Row],[Зелений Тариф ЕЦ]]+ТабCЕС[[#This Row],[Зелений Тариф ЕЦ]]*ТабCЕС[[#This Row],[% надбавки]],4)</f>
        <v>0.15029999999999999</v>
      </c>
      <c r="T67" s="8"/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0.376</v>
      </c>
      <c r="AY67">
        <v>0</v>
      </c>
      <c r="AZ67">
        <v>0.41799999999999998</v>
      </c>
    </row>
    <row r="68" spans="2:52">
      <c r="B68" t="s">
        <v>573</v>
      </c>
      <c r="C68">
        <v>36885544</v>
      </c>
      <c r="D68" t="s">
        <v>384</v>
      </c>
      <c r="F68" s="1" t="s">
        <v>574</v>
      </c>
      <c r="G68" s="1" t="s">
        <v>384</v>
      </c>
      <c r="H68" t="s">
        <v>136</v>
      </c>
      <c r="I68" t="s">
        <v>575</v>
      </c>
      <c r="J68" t="s">
        <v>576</v>
      </c>
      <c r="K68" t="s">
        <v>577</v>
      </c>
      <c r="L68" s="7">
        <v>3.5569999999999999</v>
      </c>
      <c r="M68" s="8">
        <v>43441</v>
      </c>
      <c r="N68">
        <v>12</v>
      </c>
      <c r="O68" t="s">
        <v>71</v>
      </c>
      <c r="P68">
        <v>2018</v>
      </c>
      <c r="Q68">
        <v>0.15029999999999999</v>
      </c>
      <c r="R68" s="10"/>
      <c r="S68">
        <f>ROUND(ТабCЕС[[#This Row],[Зелений Тариф ЕЦ]]+ТабCЕС[[#This Row],[Зелений Тариф ЕЦ]]*ТабCЕС[[#This Row],[% надбавки]],4)</f>
        <v>0.15029999999999999</v>
      </c>
      <c r="T68" s="8"/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0.35</v>
      </c>
      <c r="AR68">
        <v>0.111</v>
      </c>
      <c r="AS68">
        <v>0.10300000000000001</v>
      </c>
      <c r="AT68">
        <v>0.53200000000000003</v>
      </c>
      <c r="AU68">
        <v>0.97699999999999998</v>
      </c>
      <c r="AV68">
        <v>1.2509999999999999</v>
      </c>
      <c r="AW68">
        <v>1.1140000000000001</v>
      </c>
      <c r="AX68">
        <v>1.492</v>
      </c>
      <c r="AY68">
        <v>1.393</v>
      </c>
      <c r="AZ68">
        <v>1.365</v>
      </c>
    </row>
    <row r="69" spans="2:52">
      <c r="B69" t="s">
        <v>578</v>
      </c>
      <c r="C69">
        <v>36885544</v>
      </c>
      <c r="D69" t="s">
        <v>384</v>
      </c>
      <c r="F69" s="1" t="s">
        <v>574</v>
      </c>
      <c r="G69" s="1" t="s">
        <v>579</v>
      </c>
      <c r="H69" t="s">
        <v>233</v>
      </c>
      <c r="I69" t="s">
        <v>289</v>
      </c>
      <c r="K69" t="s">
        <v>580</v>
      </c>
      <c r="L69" s="7">
        <v>5.4980000000000002</v>
      </c>
      <c r="M69" s="8">
        <v>43490</v>
      </c>
      <c r="N69">
        <v>1</v>
      </c>
      <c r="O69" t="s">
        <v>67</v>
      </c>
      <c r="P69">
        <v>2019</v>
      </c>
      <c r="Q69">
        <v>0.15029999999999999</v>
      </c>
      <c r="R69" s="10"/>
      <c r="S69">
        <f>ROUND(ТабCЕС[[#This Row],[Зелений Тариф ЕЦ]]+ТабCЕС[[#This Row],[Зелений Тариф ЕЦ]]*ТабCЕС[[#This Row],[% надбавки]],4)</f>
        <v>0.15029999999999999</v>
      </c>
      <c r="T69" s="8"/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2:52" ht="25.5">
      <c r="B70" t="s">
        <v>581</v>
      </c>
      <c r="C70">
        <v>32054827</v>
      </c>
      <c r="D70" t="s">
        <v>384</v>
      </c>
      <c r="F70" s="1" t="s">
        <v>582</v>
      </c>
      <c r="G70" s="1" t="s">
        <v>583</v>
      </c>
      <c r="H70" t="s">
        <v>198</v>
      </c>
      <c r="I70" t="s">
        <v>520</v>
      </c>
      <c r="K70" t="s">
        <v>584</v>
      </c>
      <c r="L70" s="7">
        <v>0.628</v>
      </c>
      <c r="M70" s="8">
        <v>41809</v>
      </c>
      <c r="N70">
        <v>6</v>
      </c>
      <c r="O70" t="s">
        <v>57</v>
      </c>
      <c r="P70">
        <v>2014</v>
      </c>
      <c r="Q70">
        <v>0.33929999999999999</v>
      </c>
      <c r="R70" s="10"/>
      <c r="S70">
        <f>ROUND(ТабCЕС[[#This Row],[Зелений Тариф ЕЦ]]+ТабCЕС[[#This Row],[Зелений Тариф ЕЦ]]*ТабCЕС[[#This Row],[% надбавки]],4)</f>
        <v>0.33929999999999999</v>
      </c>
      <c r="T70" s="8"/>
      <c r="U70">
        <v>2.7E-2</v>
      </c>
      <c r="V70">
        <v>3.8000000000000006E-2</v>
      </c>
      <c r="W70">
        <v>6.7000000000000004E-2</v>
      </c>
      <c r="X70">
        <v>8.7999999999999995E-2</v>
      </c>
      <c r="Y70">
        <v>9.8000000000000004E-2</v>
      </c>
      <c r="Z70">
        <v>0.10499999999999998</v>
      </c>
      <c r="AA70">
        <v>0.10000000000000003</v>
      </c>
      <c r="AB70">
        <v>9.4999999999999973E-2</v>
      </c>
      <c r="AC70">
        <v>7.5999999999999956E-2</v>
      </c>
      <c r="AD70">
        <v>3.5000000000000031E-2</v>
      </c>
      <c r="AE70">
        <v>1.9000000000000017E-2</v>
      </c>
      <c r="AF70">
        <v>1.2000000000000011E-2</v>
      </c>
      <c r="AG70">
        <v>2.5999999999999999E-2</v>
      </c>
      <c r="AH70">
        <v>2.9000000000000001E-2</v>
      </c>
      <c r="AI70">
        <v>5.1999999999999998E-2</v>
      </c>
      <c r="AJ70">
        <v>9.9000000000000005E-2</v>
      </c>
      <c r="AK70">
        <v>0.108</v>
      </c>
      <c r="AL70">
        <v>0.09</v>
      </c>
      <c r="AM70">
        <v>8.7999999999999995E-2</v>
      </c>
      <c r="AN70">
        <v>0.104</v>
      </c>
      <c r="AO70">
        <v>6.7000000000000004E-2</v>
      </c>
      <c r="AP70">
        <v>6.3E-2</v>
      </c>
      <c r="AQ70">
        <v>1.7999999999999999E-2</v>
      </c>
      <c r="AR70">
        <v>1.0999999999999999E-2</v>
      </c>
      <c r="AS70">
        <v>1.2E-2</v>
      </c>
      <c r="AT70">
        <v>2.8000000000000001E-2</v>
      </c>
      <c r="AU70">
        <v>0.05</v>
      </c>
      <c r="AV70">
        <v>8.4000000000000005E-2</v>
      </c>
      <c r="AW70">
        <v>7.2999999999999995E-2</v>
      </c>
      <c r="AX70">
        <v>0.106</v>
      </c>
      <c r="AY70">
        <v>9.7000000000000003E-2</v>
      </c>
      <c r="AZ70">
        <v>9.9000000000000005E-2</v>
      </c>
    </row>
    <row r="71" spans="2:52" ht="25.5">
      <c r="B71" t="s">
        <v>585</v>
      </c>
      <c r="C71">
        <v>32054827</v>
      </c>
      <c r="D71" t="s">
        <v>384</v>
      </c>
      <c r="F71" s="1" t="s">
        <v>582</v>
      </c>
      <c r="G71" s="1" t="s">
        <v>586</v>
      </c>
      <c r="H71" t="s">
        <v>198</v>
      </c>
      <c r="I71" t="s">
        <v>520</v>
      </c>
      <c r="K71" t="s">
        <v>587</v>
      </c>
      <c r="L71" s="7">
        <v>0.624</v>
      </c>
      <c r="M71" s="8">
        <v>42075</v>
      </c>
      <c r="N71">
        <v>3</v>
      </c>
      <c r="O71" t="s">
        <v>67</v>
      </c>
      <c r="P71">
        <v>2015</v>
      </c>
      <c r="Q71">
        <v>0.30530000000000002</v>
      </c>
      <c r="R71" s="10"/>
      <c r="S71">
        <f>ROUND(ТабCЕС[[#This Row],[Зелений Тариф ЕЦ]]+ТабCЕС[[#This Row],[Зелений Тариф ЕЦ]]*ТабCЕС[[#This Row],[% надбавки]],4)</f>
        <v>0.30530000000000002</v>
      </c>
      <c r="T71" s="8"/>
      <c r="U71">
        <v>2.9000000000000001E-2</v>
      </c>
      <c r="V71">
        <v>3.4000000000000002E-2</v>
      </c>
      <c r="W71">
        <v>6.6000000000000003E-2</v>
      </c>
      <c r="X71">
        <v>8.7999999999999995E-2</v>
      </c>
      <c r="Y71">
        <v>0.09</v>
      </c>
      <c r="Z71">
        <v>0.10299999999999998</v>
      </c>
      <c r="AA71">
        <v>9.600000000000003E-2</v>
      </c>
      <c r="AB71">
        <v>9.2999999999999972E-2</v>
      </c>
      <c r="AC71">
        <v>7.4000000000000066E-2</v>
      </c>
      <c r="AD71">
        <v>3.2999999999999918E-2</v>
      </c>
      <c r="AE71">
        <v>1.8000000000000016E-2</v>
      </c>
      <c r="AF71">
        <v>1.3000000000000012E-2</v>
      </c>
      <c r="AG71">
        <v>2.4E-2</v>
      </c>
      <c r="AH71">
        <v>2.8000000000000001E-2</v>
      </c>
      <c r="AI71">
        <v>5.0999999999999997E-2</v>
      </c>
      <c r="AJ71">
        <v>9.0999999999999998E-2</v>
      </c>
      <c r="AK71">
        <v>0.10199999999999999</v>
      </c>
      <c r="AL71">
        <v>0.08</v>
      </c>
      <c r="AM71">
        <v>8.6999999999999994E-2</v>
      </c>
      <c r="AN71">
        <v>9.1999999999999998E-2</v>
      </c>
      <c r="AO71">
        <v>6.8000000000000005E-2</v>
      </c>
      <c r="AP71">
        <v>6.4000000000000001E-2</v>
      </c>
      <c r="AQ71">
        <v>1.7999999999999999E-2</v>
      </c>
      <c r="AR71">
        <v>1.0999999999999999E-2</v>
      </c>
      <c r="AS71">
        <v>1.2999999999999999E-2</v>
      </c>
      <c r="AT71">
        <v>2.8000000000000001E-2</v>
      </c>
      <c r="AU71">
        <v>5.2999999999999999E-2</v>
      </c>
      <c r="AV71">
        <v>8.4000000000000005E-2</v>
      </c>
      <c r="AW71">
        <v>7.2999999999999995E-2</v>
      </c>
      <c r="AX71">
        <v>0.106</v>
      </c>
      <c r="AY71">
        <v>9.6000000000000002E-2</v>
      </c>
      <c r="AZ71">
        <v>9.0999999999999998E-2</v>
      </c>
    </row>
    <row r="72" spans="2:52" ht="25.5">
      <c r="B72" t="s">
        <v>588</v>
      </c>
      <c r="C72">
        <v>32054827</v>
      </c>
      <c r="D72" t="s">
        <v>384</v>
      </c>
      <c r="F72" s="1" t="s">
        <v>582</v>
      </c>
      <c r="G72" s="1" t="s">
        <v>589</v>
      </c>
      <c r="H72" t="s">
        <v>198</v>
      </c>
      <c r="I72" t="s">
        <v>520</v>
      </c>
      <c r="K72" t="s">
        <v>584</v>
      </c>
      <c r="L72" s="7">
        <v>1.2070000000000001</v>
      </c>
      <c r="M72" s="8">
        <v>42362</v>
      </c>
      <c r="N72">
        <v>12</v>
      </c>
      <c r="O72" t="s">
        <v>71</v>
      </c>
      <c r="P72">
        <v>2015</v>
      </c>
      <c r="Q72">
        <v>0.1696</v>
      </c>
      <c r="R72" s="10"/>
      <c r="S72">
        <f>ROUND(ТабCЕС[[#This Row],[Зелений Тариф ЕЦ]]+ТабCЕС[[#This Row],[Зелений Тариф ЕЦ]]*ТабCЕС[[#This Row],[% надбавки]],4)</f>
        <v>0.1696</v>
      </c>
      <c r="T72" s="8"/>
      <c r="U72">
        <v>5.6000000000000001E-2</v>
      </c>
      <c r="V72">
        <v>6.6000000000000003E-2</v>
      </c>
      <c r="W72">
        <v>0.13100000000000001</v>
      </c>
      <c r="X72">
        <v>0.17099999999999999</v>
      </c>
      <c r="Y72">
        <v>0.17599999999999999</v>
      </c>
      <c r="Z72">
        <v>0.20400000000000007</v>
      </c>
      <c r="AA72">
        <v>0.19499999999999995</v>
      </c>
      <c r="AB72">
        <v>0.18400000000000005</v>
      </c>
      <c r="AC72">
        <v>0.14900000000000002</v>
      </c>
      <c r="AD72">
        <v>6.7999999999999838E-2</v>
      </c>
      <c r="AE72">
        <v>3.5000000000000142E-2</v>
      </c>
      <c r="AF72">
        <v>2.4000000000000021E-2</v>
      </c>
      <c r="AG72">
        <v>0.05</v>
      </c>
      <c r="AH72">
        <v>5.8999999999999997E-2</v>
      </c>
      <c r="AI72">
        <v>0.106</v>
      </c>
      <c r="AJ72">
        <v>0.193</v>
      </c>
      <c r="AK72">
        <v>0.21</v>
      </c>
      <c r="AL72">
        <v>0.16700000000000001</v>
      </c>
      <c r="AM72">
        <v>0.17799999999999999</v>
      </c>
      <c r="AN72">
        <v>0.17599999999999999</v>
      </c>
      <c r="AO72">
        <v>0.13600000000000001</v>
      </c>
      <c r="AP72">
        <v>0.13</v>
      </c>
      <c r="AQ72">
        <v>3.9E-2</v>
      </c>
      <c r="AR72">
        <v>2.1999999999999999E-2</v>
      </c>
      <c r="AS72">
        <v>2.3E-2</v>
      </c>
      <c r="AT72">
        <v>5.8000000000000003E-2</v>
      </c>
      <c r="AU72">
        <v>0.11</v>
      </c>
      <c r="AV72">
        <v>0.16400000000000001</v>
      </c>
      <c r="AW72">
        <v>0.14199999999999999</v>
      </c>
      <c r="AX72">
        <v>0.20499999999999999</v>
      </c>
      <c r="AY72">
        <v>0.188</v>
      </c>
      <c r="AZ72">
        <v>0.17100000000000001</v>
      </c>
    </row>
    <row r="73" spans="2:52">
      <c r="B73" t="s">
        <v>590</v>
      </c>
      <c r="C73">
        <v>32054827</v>
      </c>
      <c r="D73" t="s">
        <v>384</v>
      </c>
      <c r="F73" s="1" t="s">
        <v>582</v>
      </c>
      <c r="G73" s="1" t="s">
        <v>591</v>
      </c>
      <c r="H73" t="s">
        <v>198</v>
      </c>
      <c r="I73" t="s">
        <v>520</v>
      </c>
      <c r="K73" t="s">
        <v>592</v>
      </c>
      <c r="L73" s="7">
        <v>1.496</v>
      </c>
      <c r="M73" s="8">
        <v>42999</v>
      </c>
      <c r="N73">
        <v>9</v>
      </c>
      <c r="O73" t="s">
        <v>60</v>
      </c>
      <c r="P73">
        <v>2017</v>
      </c>
      <c r="Q73">
        <v>0.15029999999999999</v>
      </c>
      <c r="R73" s="10"/>
      <c r="S73">
        <f>ROUND(ТабCЕС[[#This Row],[Зелений Тариф ЕЦ]]+ТабCЕС[[#This Row],[Зелений Тариф ЕЦ]]*ТабCЕС[[#This Row],[% надбавки]],4)</f>
        <v>0.15029999999999999</v>
      </c>
      <c r="T73" s="8"/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0.10100000000000001</v>
      </c>
      <c r="AE73">
        <v>4.8999999999999988E-2</v>
      </c>
      <c r="AF73">
        <v>0.03</v>
      </c>
      <c r="AG73">
        <v>5.2999999999999999E-2</v>
      </c>
      <c r="AH73">
        <v>6.9000000000000006E-2</v>
      </c>
      <c r="AI73">
        <v>0.13300000000000001</v>
      </c>
      <c r="AJ73">
        <v>0.245</v>
      </c>
      <c r="AK73">
        <v>0.26900000000000002</v>
      </c>
      <c r="AL73">
        <v>0.222</v>
      </c>
      <c r="AM73">
        <v>0.22800000000000001</v>
      </c>
      <c r="AN73">
        <v>0.25700000000000001</v>
      </c>
      <c r="AO73">
        <v>0.17399999999999999</v>
      </c>
      <c r="AP73">
        <v>0.16600000000000001</v>
      </c>
      <c r="AQ73">
        <v>4.7E-2</v>
      </c>
      <c r="AR73">
        <v>2.5000000000000001E-2</v>
      </c>
      <c r="AS73">
        <v>4.1000000000000002E-2</v>
      </c>
      <c r="AT73">
        <v>7.2999999999999995E-2</v>
      </c>
      <c r="AU73">
        <v>0.156</v>
      </c>
      <c r="AV73">
        <v>0.20799999999999999</v>
      </c>
      <c r="AW73">
        <v>0.20200000000000001</v>
      </c>
      <c r="AX73">
        <v>0.26500000000000001</v>
      </c>
      <c r="AY73">
        <v>0.24</v>
      </c>
      <c r="AZ73">
        <v>0.24299999999999999</v>
      </c>
    </row>
    <row r="74" spans="2:52">
      <c r="B74" t="s">
        <v>593</v>
      </c>
      <c r="C74">
        <v>36881419</v>
      </c>
      <c r="D74" t="s">
        <v>384</v>
      </c>
      <c r="F74" s="1" t="s">
        <v>594</v>
      </c>
      <c r="G74" s="1" t="s">
        <v>384</v>
      </c>
      <c r="H74" t="s">
        <v>198</v>
      </c>
      <c r="I74" t="s">
        <v>571</v>
      </c>
      <c r="K74" t="s">
        <v>595</v>
      </c>
      <c r="L74" s="7">
        <v>4.4950000000000001</v>
      </c>
      <c r="M74" s="8">
        <v>41270</v>
      </c>
      <c r="N74">
        <v>12</v>
      </c>
      <c r="O74" t="s">
        <v>71</v>
      </c>
      <c r="P74">
        <v>2012</v>
      </c>
      <c r="Q74">
        <v>0.46529999999999999</v>
      </c>
      <c r="R74" s="10"/>
      <c r="S74">
        <f>ROUND(ТабCЕС[[#This Row],[Зелений Тариф ЕЦ]]+ТабCЕС[[#This Row],[Зелений Тариф ЕЦ]]*ТабCЕС[[#This Row],[% надбавки]],4)</f>
        <v>0.46529999999999999</v>
      </c>
      <c r="T74" s="8"/>
      <c r="U74">
        <v>0.182</v>
      </c>
      <c r="V74">
        <v>0.23899999999999999</v>
      </c>
      <c r="W74">
        <v>0.47700000000000004</v>
      </c>
      <c r="X74">
        <v>0.624</v>
      </c>
      <c r="Y74">
        <v>0.72300000000000009</v>
      </c>
      <c r="Z74">
        <v>0.7410000000000001</v>
      </c>
      <c r="AA74">
        <v>0.73</v>
      </c>
      <c r="AB74">
        <v>0.70699999999999985</v>
      </c>
      <c r="AC74">
        <v>0.52700000000000014</v>
      </c>
      <c r="AD74">
        <v>0.29600000000000026</v>
      </c>
      <c r="AE74">
        <v>0.10699999999999932</v>
      </c>
      <c r="AF74">
        <v>9.7000000000000419E-2</v>
      </c>
      <c r="AG74">
        <v>0.17699999999999999</v>
      </c>
      <c r="AH74">
        <v>0.17899999999999999</v>
      </c>
      <c r="AI74">
        <v>0.36499999999999999</v>
      </c>
      <c r="AJ74">
        <v>0.69699999999999995</v>
      </c>
      <c r="AK74">
        <v>0.754</v>
      </c>
      <c r="AL74">
        <v>0.64100000000000001</v>
      </c>
      <c r="AM74">
        <v>0.64900000000000002</v>
      </c>
      <c r="AN74">
        <v>0.752</v>
      </c>
      <c r="AO74">
        <v>0.495</v>
      </c>
      <c r="AP74">
        <v>0.46200000000000002</v>
      </c>
      <c r="AQ74">
        <v>0.123</v>
      </c>
      <c r="AR74">
        <v>7.2999999999999995E-2</v>
      </c>
      <c r="AS74">
        <v>7.2999999999999995E-2</v>
      </c>
      <c r="AT74">
        <v>0.192</v>
      </c>
      <c r="AU74">
        <v>0.438</v>
      </c>
      <c r="AV74">
        <v>0.59699999999999998</v>
      </c>
      <c r="AW74">
        <v>0.55400000000000005</v>
      </c>
      <c r="AX74">
        <v>0.70099999999999996</v>
      </c>
      <c r="AY74">
        <v>0.66900000000000004</v>
      </c>
      <c r="AZ74">
        <v>0.68799999999999994</v>
      </c>
    </row>
    <row r="75" spans="2:52">
      <c r="C75" t="s">
        <v>58</v>
      </c>
      <c r="D75" t="s">
        <v>384</v>
      </c>
      <c r="F75" s="1" t="s">
        <v>596</v>
      </c>
      <c r="G75" s="1" t="s">
        <v>384</v>
      </c>
      <c r="H75" t="s">
        <v>172</v>
      </c>
      <c r="I75" t="s">
        <v>429</v>
      </c>
      <c r="K75" t="s">
        <v>597</v>
      </c>
      <c r="L75" s="7">
        <v>11.374000000000001</v>
      </c>
      <c r="M75" s="8">
        <v>43448</v>
      </c>
      <c r="N75">
        <v>12</v>
      </c>
      <c r="O75" t="s">
        <v>71</v>
      </c>
      <c r="P75">
        <v>2018</v>
      </c>
      <c r="Q75">
        <v>0.15029999999999999</v>
      </c>
      <c r="R75" s="10">
        <v>0.05</v>
      </c>
      <c r="S75">
        <f>ROUND(ТабCЕС[[#This Row],[Зелений Тариф ЕЦ]]+ТабCЕС[[#This Row],[Зелений Тариф ЕЦ]]*ТабCЕС[[#This Row],[% надбавки]],4)</f>
        <v>0.1578</v>
      </c>
      <c r="T75" s="8">
        <v>43455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0.112</v>
      </c>
      <c r="AT75">
        <v>0.46700000000000003</v>
      </c>
      <c r="AU75">
        <v>1.038</v>
      </c>
      <c r="AV75">
        <v>1.478</v>
      </c>
      <c r="AW75">
        <v>1.361</v>
      </c>
      <c r="AX75">
        <v>1.9350000000000001</v>
      </c>
      <c r="AY75">
        <v>1.746</v>
      </c>
      <c r="AZ75">
        <v>1.792</v>
      </c>
    </row>
    <row r="76" spans="2:52">
      <c r="C76" t="s">
        <v>58</v>
      </c>
      <c r="D76" t="s">
        <v>384</v>
      </c>
      <c r="F76" s="1" t="s">
        <v>598</v>
      </c>
      <c r="G76" s="1" t="s">
        <v>408</v>
      </c>
      <c r="H76" t="s">
        <v>73</v>
      </c>
      <c r="I76" t="s">
        <v>599</v>
      </c>
      <c r="K76" t="s">
        <v>600</v>
      </c>
      <c r="L76" s="7">
        <v>2.508</v>
      </c>
      <c r="M76" s="8">
        <v>43417</v>
      </c>
      <c r="N76">
        <v>11</v>
      </c>
      <c r="O76" t="s">
        <v>71</v>
      </c>
      <c r="P76">
        <v>2018</v>
      </c>
      <c r="Q76">
        <v>0.15029999999999999</v>
      </c>
      <c r="R76" s="10"/>
      <c r="S76">
        <f>ROUND(ТабCЕС[[#This Row],[Зелений Тариф ЕЦ]]+ТабCЕС[[#This Row],[Зелений Тариф ЕЦ]]*ТабCЕС[[#This Row],[% надбавки]],4)</f>
        <v>0.15029999999999999</v>
      </c>
      <c r="T76" s="8"/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0.35099999999999998</v>
      </c>
      <c r="AY76">
        <v>0.40200000000000002</v>
      </c>
      <c r="AZ76">
        <v>0.40300000000000002</v>
      </c>
    </row>
    <row r="77" spans="2:52">
      <c r="C77" t="s">
        <v>58</v>
      </c>
      <c r="D77" t="s">
        <v>384</v>
      </c>
      <c r="F77" s="1" t="s">
        <v>601</v>
      </c>
      <c r="G77" s="1" t="s">
        <v>602</v>
      </c>
      <c r="H77" t="s">
        <v>198</v>
      </c>
      <c r="I77" t="s">
        <v>516</v>
      </c>
      <c r="K77" t="s">
        <v>603</v>
      </c>
      <c r="L77" s="7">
        <v>6.2249999999999996</v>
      </c>
      <c r="M77" s="8">
        <v>43522</v>
      </c>
      <c r="N77">
        <v>2</v>
      </c>
      <c r="O77" t="s">
        <v>67</v>
      </c>
      <c r="P77">
        <v>2019</v>
      </c>
      <c r="Q77">
        <v>0.15029999999999999</v>
      </c>
      <c r="R77" s="10">
        <v>0.05</v>
      </c>
      <c r="S77">
        <f>ROUND(ТабCЕС[[#This Row],[Зелений Тариф ЕЦ]]+ТабCЕС[[#This Row],[Зелений Тариф ЕЦ]]*ТабCЕС[[#This Row],[% надбавки]],4)</f>
        <v>0.1578</v>
      </c>
      <c r="T77" s="8">
        <v>43637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0.625</v>
      </c>
      <c r="AV77">
        <v>0.86099999999999999</v>
      </c>
      <c r="AW77">
        <v>0.85699999999999998</v>
      </c>
      <c r="AX77">
        <v>0.97399999999999998</v>
      </c>
      <c r="AY77">
        <v>0.98</v>
      </c>
      <c r="AZ77">
        <v>1.034</v>
      </c>
    </row>
    <row r="78" spans="2:52">
      <c r="C78" t="s">
        <v>58</v>
      </c>
      <c r="D78" t="s">
        <v>384</v>
      </c>
      <c r="F78" s="1" t="s">
        <v>604</v>
      </c>
      <c r="G78" s="1" t="s">
        <v>605</v>
      </c>
      <c r="H78" t="s">
        <v>136</v>
      </c>
      <c r="I78" t="s">
        <v>606</v>
      </c>
      <c r="K78" t="s">
        <v>607</v>
      </c>
      <c r="L78" s="7">
        <v>12.348000000000001</v>
      </c>
      <c r="M78" s="8">
        <v>43613</v>
      </c>
      <c r="N78">
        <v>5</v>
      </c>
      <c r="O78" t="s">
        <v>57</v>
      </c>
      <c r="P78">
        <v>2019</v>
      </c>
      <c r="Q78">
        <v>0.15029999999999999</v>
      </c>
      <c r="R78" s="10">
        <v>0.05</v>
      </c>
      <c r="S78">
        <f>ROUND(ТабCЕС[[#This Row],[Зелений Тариф ЕЦ]]+ТабCЕС[[#This Row],[Зелений Тариф ЕЦ]]*ТабCЕС[[#This Row],[% надбавки]],4)</f>
        <v>0.1578</v>
      </c>
      <c r="T78" s="8" t="s">
        <v>608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1.798</v>
      </c>
      <c r="AY78">
        <v>2.036</v>
      </c>
      <c r="AZ78">
        <v>2.0499999999999998</v>
      </c>
    </row>
    <row r="79" spans="2:52">
      <c r="C79" t="s">
        <v>58</v>
      </c>
      <c r="D79" t="s">
        <v>384</v>
      </c>
      <c r="F79" s="1" t="s">
        <v>609</v>
      </c>
      <c r="G79" s="1" t="s">
        <v>610</v>
      </c>
      <c r="H79" t="s">
        <v>82</v>
      </c>
      <c r="I79" t="s">
        <v>611</v>
      </c>
      <c r="K79" t="s">
        <v>612</v>
      </c>
      <c r="L79" s="7">
        <v>14.571999999999999</v>
      </c>
      <c r="M79" s="8">
        <v>43613</v>
      </c>
      <c r="N79">
        <v>5</v>
      </c>
      <c r="O79" t="s">
        <v>57</v>
      </c>
      <c r="P79">
        <v>2019</v>
      </c>
      <c r="Q79">
        <v>0.15029999999999999</v>
      </c>
      <c r="R79" s="10">
        <v>0.05</v>
      </c>
      <c r="S79">
        <f>ROUND(ТабCЕС[[#This Row],[Зелений Тариф ЕЦ]]+ТабCЕС[[#This Row],[Зелений Тариф ЕЦ]]*ТабCЕС[[#This Row],[% надбавки]],4)</f>
        <v>0.1578</v>
      </c>
      <c r="T79" s="8">
        <v>43664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2.363</v>
      </c>
      <c r="AY79">
        <v>2.609</v>
      </c>
      <c r="AZ79">
        <v>2.2330000000000001</v>
      </c>
    </row>
    <row r="80" spans="2:52">
      <c r="C80" t="s">
        <v>58</v>
      </c>
      <c r="D80" t="s">
        <v>384</v>
      </c>
      <c r="F80" s="1" t="s">
        <v>613</v>
      </c>
      <c r="G80" s="1" t="s">
        <v>408</v>
      </c>
      <c r="H80" t="s">
        <v>122</v>
      </c>
      <c r="I80" t="s">
        <v>614</v>
      </c>
      <c r="K80" t="s">
        <v>615</v>
      </c>
      <c r="L80" s="7">
        <v>1.087</v>
      </c>
      <c r="M80" s="8">
        <v>43277</v>
      </c>
      <c r="N80">
        <v>6</v>
      </c>
      <c r="O80" t="s">
        <v>57</v>
      </c>
      <c r="P80">
        <v>2019</v>
      </c>
      <c r="Q80">
        <v>0.15029999999999999</v>
      </c>
      <c r="R80" s="10"/>
      <c r="S80">
        <f>ROUND(ТабCЕС[[#This Row],[Зелений Тариф ЕЦ]]+ТабCЕС[[#This Row],[Зелений Тариф ЕЦ]]*ТабCЕС[[#This Row],[% надбавки]],4)</f>
        <v>0.15029999999999999</v>
      </c>
      <c r="T80" s="8"/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0.16500000000000001</v>
      </c>
      <c r="AN80">
        <v>0.189</v>
      </c>
      <c r="AO80">
        <v>0.121</v>
      </c>
      <c r="AP80">
        <v>0.11799999999999999</v>
      </c>
      <c r="AQ80">
        <v>5.5E-2</v>
      </c>
      <c r="AR80">
        <v>8.9999999999999993E-3</v>
      </c>
      <c r="AS80">
        <v>2.7E-2</v>
      </c>
      <c r="AT80">
        <v>5.1999999999999998E-2</v>
      </c>
      <c r="AU80">
        <v>0.12</v>
      </c>
      <c r="AV80">
        <v>0.16200000000000001</v>
      </c>
      <c r="AW80">
        <v>0.17</v>
      </c>
      <c r="AX80">
        <v>0.35099999999999998</v>
      </c>
      <c r="AY80">
        <v>0.35799999999999998</v>
      </c>
      <c r="AZ80">
        <v>0.33400000000000002</v>
      </c>
    </row>
    <row r="81" spans="3:52">
      <c r="C81" t="s">
        <v>58</v>
      </c>
      <c r="D81" t="s">
        <v>384</v>
      </c>
      <c r="F81" s="1" t="s">
        <v>613</v>
      </c>
      <c r="G81" s="1" t="s">
        <v>410</v>
      </c>
      <c r="H81" t="s">
        <v>122</v>
      </c>
      <c r="I81" t="s">
        <v>614</v>
      </c>
      <c r="K81" t="s">
        <v>616</v>
      </c>
      <c r="L81" s="7">
        <v>1.087</v>
      </c>
      <c r="M81" s="8">
        <v>43596</v>
      </c>
      <c r="N81">
        <v>5</v>
      </c>
      <c r="O81" t="s">
        <v>57</v>
      </c>
      <c r="P81">
        <v>2019</v>
      </c>
      <c r="Q81">
        <v>0.15029999999999999</v>
      </c>
      <c r="R81" s="10"/>
      <c r="S81">
        <f>ROUND(ТабCЕС[[#This Row],[Зелений Тариф ЕЦ]]+ТабCЕС[[#This Row],[Зелений Тариф ЕЦ]]*ТабCЕС[[#This Row],[% надбавки]],4)</f>
        <v>0.15029999999999999</v>
      </c>
      <c r="T81" s="8"/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3:52">
      <c r="C82" t="s">
        <v>58</v>
      </c>
      <c r="D82" t="s">
        <v>384</v>
      </c>
      <c r="F82" s="1" t="s">
        <v>617</v>
      </c>
      <c r="G82" s="1" t="s">
        <v>384</v>
      </c>
      <c r="H82" t="s">
        <v>107</v>
      </c>
      <c r="I82" t="s">
        <v>618</v>
      </c>
      <c r="K82" t="s">
        <v>619</v>
      </c>
      <c r="L82" s="7">
        <v>2.97</v>
      </c>
      <c r="M82" s="8">
        <v>42135</v>
      </c>
      <c r="N82">
        <v>5</v>
      </c>
      <c r="O82" t="s">
        <v>57</v>
      </c>
      <c r="P82">
        <v>2015</v>
      </c>
      <c r="Q82">
        <v>0.15029999999999999</v>
      </c>
      <c r="R82" s="10"/>
      <c r="S82">
        <f>ROUND(ТабCЕС[[#This Row],[Зелений Тариф ЕЦ]]+ТабCЕС[[#This Row],[Зелений Тариф ЕЦ]]*ТабCЕС[[#This Row],[% надбавки]],4)</f>
        <v>0.15029999999999999</v>
      </c>
      <c r="T82" s="8"/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0.50800000000000001</v>
      </c>
      <c r="AY82">
        <v>0.51100000000000001</v>
      </c>
      <c r="AZ82">
        <v>0.46700000000000003</v>
      </c>
    </row>
    <row r="83" spans="3:52">
      <c r="C83" t="s">
        <v>58</v>
      </c>
      <c r="D83" t="s">
        <v>384</v>
      </c>
      <c r="F83" s="1" t="s">
        <v>620</v>
      </c>
      <c r="G83" s="1" t="s">
        <v>408</v>
      </c>
      <c r="H83" t="s">
        <v>136</v>
      </c>
      <c r="I83" t="s">
        <v>621</v>
      </c>
      <c r="K83" t="s">
        <v>622</v>
      </c>
      <c r="L83" s="7">
        <v>1.248</v>
      </c>
      <c r="M83" s="8">
        <v>43158</v>
      </c>
      <c r="N83">
        <v>2</v>
      </c>
      <c r="O83" t="s">
        <v>67</v>
      </c>
      <c r="P83">
        <v>2018</v>
      </c>
      <c r="Q83">
        <v>0.15029999999999999</v>
      </c>
      <c r="R83" s="10"/>
      <c r="S83">
        <f>ROUND(ТабCЕС[[#This Row],[Зелений Тариф ЕЦ]]+ТабCЕС[[#This Row],[Зелений Тариф ЕЦ]]*ТабCЕС[[#This Row],[% надбавки]],4)</f>
        <v>0.15029999999999999</v>
      </c>
      <c r="T83" s="8"/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0.13700000000000001</v>
      </c>
      <c r="AJ83">
        <v>0.191</v>
      </c>
      <c r="AK83">
        <v>0.223</v>
      </c>
      <c r="AL83">
        <v>0.216</v>
      </c>
      <c r="AM83">
        <v>0.19500000000000001</v>
      </c>
      <c r="AN83">
        <v>0.215</v>
      </c>
      <c r="AO83">
        <v>0.13600000000000001</v>
      </c>
      <c r="AP83">
        <v>0.13100000000000001</v>
      </c>
      <c r="AQ83">
        <v>4.9000000000000002E-2</v>
      </c>
      <c r="AR83">
        <v>1.7999999999999999E-2</v>
      </c>
      <c r="AS83">
        <v>5.5999999999999994E-2</v>
      </c>
      <c r="AT83">
        <v>7.0000000000000007E-2</v>
      </c>
      <c r="AU83">
        <v>0.17200000000000001</v>
      </c>
      <c r="AV83">
        <v>0.24299999999999999</v>
      </c>
      <c r="AW83">
        <v>0.25900000000000001</v>
      </c>
      <c r="AX83">
        <v>0.32100000000000001</v>
      </c>
      <c r="AY83">
        <v>0.30599999999999999</v>
      </c>
      <c r="AZ83">
        <v>0.29599999999999999</v>
      </c>
    </row>
    <row r="84" spans="3:52">
      <c r="C84" t="s">
        <v>58</v>
      </c>
      <c r="D84" t="s">
        <v>384</v>
      </c>
      <c r="F84" s="1" t="s">
        <v>620</v>
      </c>
      <c r="G84" s="1" t="s">
        <v>410</v>
      </c>
      <c r="H84" t="s">
        <v>136</v>
      </c>
      <c r="I84" t="s">
        <v>621</v>
      </c>
      <c r="K84" t="s">
        <v>622</v>
      </c>
      <c r="L84" s="7">
        <v>0.56999999999999995</v>
      </c>
      <c r="M84" s="8">
        <v>43368</v>
      </c>
      <c r="N84">
        <v>9</v>
      </c>
      <c r="O84" t="s">
        <v>60</v>
      </c>
      <c r="P84">
        <v>2018</v>
      </c>
      <c r="Q84">
        <v>0.15029999999999999</v>
      </c>
      <c r="R84" s="10"/>
      <c r="S84">
        <f>ROUND(ТабCЕС[[#This Row],[Зелений Тариф ЕЦ]]+ТабCЕС[[#This Row],[Зелений Тариф ЕЦ]]*ТабCЕС[[#This Row],[% надбавки]],4)</f>
        <v>0.15029999999999999</v>
      </c>
      <c r="T84" s="8"/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5.3999999999999999E-2</v>
      </c>
      <c r="AQ84">
        <v>2.5000000000000001E-2</v>
      </c>
      <c r="AR84">
        <v>8.9999999999999993E-3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3:52">
      <c r="C85" t="s">
        <v>58</v>
      </c>
      <c r="D85" t="s">
        <v>384</v>
      </c>
      <c r="F85" s="1" t="s">
        <v>623</v>
      </c>
      <c r="G85" s="1" t="s">
        <v>384</v>
      </c>
      <c r="H85" t="s">
        <v>82</v>
      </c>
      <c r="I85" t="s">
        <v>624</v>
      </c>
      <c r="K85" t="s">
        <v>625</v>
      </c>
      <c r="L85" s="7">
        <v>1.125</v>
      </c>
      <c r="M85" s="8">
        <v>43596</v>
      </c>
      <c r="N85">
        <v>5</v>
      </c>
      <c r="O85" t="s">
        <v>57</v>
      </c>
      <c r="P85">
        <v>2019</v>
      </c>
      <c r="Q85">
        <v>0.15029999999999999</v>
      </c>
      <c r="R85" s="10"/>
      <c r="S85">
        <f>ROUND(ТабCЕС[[#This Row],[Зелений Тариф ЕЦ]]+ТабCЕС[[#This Row],[Зелений Тариф ЕЦ]]*ТабCЕС[[#This Row],[% надбавки]],4)</f>
        <v>0.15029999999999999</v>
      </c>
      <c r="T85" s="8"/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0.11899999999999999</v>
      </c>
    </row>
    <row r="86" spans="3:52">
      <c r="C86" t="s">
        <v>58</v>
      </c>
      <c r="D86" t="s">
        <v>384</v>
      </c>
      <c r="F86" s="1" t="s">
        <v>626</v>
      </c>
      <c r="G86" s="1" t="s">
        <v>408</v>
      </c>
      <c r="H86" t="s">
        <v>122</v>
      </c>
      <c r="I86" t="s">
        <v>316</v>
      </c>
      <c r="K86" t="s">
        <v>627</v>
      </c>
      <c r="L86" s="7">
        <v>1.0369999999999999</v>
      </c>
      <c r="M86" s="8">
        <v>43340</v>
      </c>
      <c r="N86">
        <v>8</v>
      </c>
      <c r="O86" t="s">
        <v>60</v>
      </c>
      <c r="P86">
        <v>2018</v>
      </c>
      <c r="Q86">
        <v>0.15029999999999999</v>
      </c>
      <c r="R86" s="10"/>
      <c r="S86">
        <f>ROUND(ТабCЕС[[#This Row],[Зелений Тариф ЕЦ]]+ТабCЕС[[#This Row],[Зелений Тариф ЕЦ]]*ТабCЕС[[#This Row],[% надбавки]],4)</f>
        <v>0.15029999999999999</v>
      </c>
      <c r="T86" s="8"/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0.1</v>
      </c>
      <c r="AV86">
        <v>0.14399999999999999</v>
      </c>
      <c r="AW86">
        <v>0.14000000000000001</v>
      </c>
      <c r="AX86">
        <v>0.14899999999999999</v>
      </c>
      <c r="AY86">
        <v>0.17299999999999999</v>
      </c>
      <c r="AZ86">
        <v>0.152</v>
      </c>
    </row>
    <row r="87" spans="3:52">
      <c r="C87" t="s">
        <v>58</v>
      </c>
      <c r="D87" t="s">
        <v>384</v>
      </c>
      <c r="F87" s="1" t="s">
        <v>628</v>
      </c>
      <c r="G87" s="1" t="s">
        <v>629</v>
      </c>
      <c r="H87" t="s">
        <v>73</v>
      </c>
      <c r="I87" t="s">
        <v>284</v>
      </c>
      <c r="K87" t="s">
        <v>630</v>
      </c>
      <c r="L87" s="7">
        <v>18.818999999999999</v>
      </c>
      <c r="M87" s="8">
        <v>43441</v>
      </c>
      <c r="N87">
        <v>12</v>
      </c>
      <c r="O87" t="s">
        <v>71</v>
      </c>
      <c r="P87">
        <v>2018</v>
      </c>
      <c r="Q87">
        <v>0.15029999999999999</v>
      </c>
      <c r="R87" s="10">
        <v>0.05</v>
      </c>
      <c r="S87">
        <f>ROUND(ТабCЕС[[#This Row],[Зелений Тариф ЕЦ]]+ТабCЕС[[#This Row],[Зелений Тариф ЕЦ]]*ТабCЕС[[#This Row],[% надбавки]],4)</f>
        <v>0.1578</v>
      </c>
      <c r="T87" s="8">
        <v>43448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1.006</v>
      </c>
      <c r="AU87">
        <v>2.1629999999999998</v>
      </c>
      <c r="AV87">
        <v>2.5190000000000001</v>
      </c>
      <c r="AW87">
        <v>2.887</v>
      </c>
      <c r="AX87">
        <v>2.968</v>
      </c>
      <c r="AY87">
        <v>3.1469999999999998</v>
      </c>
      <c r="AZ87">
        <v>2.7450000000000001</v>
      </c>
    </row>
    <row r="88" spans="3:52">
      <c r="C88" t="s">
        <v>58</v>
      </c>
      <c r="D88" t="s">
        <v>384</v>
      </c>
      <c r="F88" s="1" t="s">
        <v>631</v>
      </c>
      <c r="G88" s="1" t="s">
        <v>384</v>
      </c>
      <c r="H88" t="s">
        <v>136</v>
      </c>
      <c r="I88" t="s">
        <v>632</v>
      </c>
      <c r="K88" t="s">
        <v>633</v>
      </c>
      <c r="L88" s="7">
        <v>16.988</v>
      </c>
      <c r="M88" s="8">
        <v>42941</v>
      </c>
      <c r="N88">
        <v>7</v>
      </c>
      <c r="O88" t="s">
        <v>60</v>
      </c>
      <c r="P88">
        <v>2017</v>
      </c>
      <c r="Q88">
        <v>0.15029999999999999</v>
      </c>
      <c r="R88" s="10">
        <v>0.05</v>
      </c>
      <c r="S88">
        <f>ROUND(ТабCЕС[[#This Row],[Зелений Тариф ЕЦ]]+ТабCЕС[[#This Row],[Зелений Тариф ЕЦ]]*ТабCЕС[[#This Row],[% надбавки]],4)</f>
        <v>0.1578</v>
      </c>
      <c r="T88" s="8">
        <v>43144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2.5139999999999998</v>
      </c>
      <c r="AC88">
        <v>2.2610000000000006</v>
      </c>
      <c r="AD88">
        <v>1.0309999999999997</v>
      </c>
      <c r="AE88">
        <v>0.37099999999999955</v>
      </c>
      <c r="AF88">
        <v>0.28900000000000059</v>
      </c>
      <c r="AG88">
        <v>0.497</v>
      </c>
      <c r="AH88">
        <v>0.56699999999999995</v>
      </c>
      <c r="AI88">
        <v>1.522</v>
      </c>
      <c r="AJ88">
        <v>2.62</v>
      </c>
      <c r="AK88">
        <v>2.96</v>
      </c>
      <c r="AL88">
        <v>2.8650000000000002</v>
      </c>
      <c r="AM88">
        <v>2.7909999999999999</v>
      </c>
      <c r="AN88">
        <v>2.9860000000000002</v>
      </c>
      <c r="AO88">
        <v>1.837</v>
      </c>
      <c r="AP88">
        <v>1.8049999999999999</v>
      </c>
      <c r="AQ88">
        <v>0.56200000000000006</v>
      </c>
      <c r="AR88">
        <v>0.21099999999999999</v>
      </c>
      <c r="AS88">
        <v>0.39600000000000002</v>
      </c>
      <c r="AT88">
        <v>0.83499999999999996</v>
      </c>
      <c r="AU88">
        <v>1.9239999999999999</v>
      </c>
      <c r="AV88">
        <v>2.4729999999999999</v>
      </c>
      <c r="AW88">
        <v>2.4300000000000002</v>
      </c>
      <c r="AX88">
        <v>2.79</v>
      </c>
      <c r="AY88">
        <v>2.964</v>
      </c>
      <c r="AZ88">
        <v>2.681</v>
      </c>
    </row>
    <row r="89" spans="3:52">
      <c r="C89" t="s">
        <v>58</v>
      </c>
      <c r="D89" t="s">
        <v>384</v>
      </c>
      <c r="F89" s="1" t="s">
        <v>634</v>
      </c>
      <c r="G89" s="1" t="s">
        <v>635</v>
      </c>
      <c r="H89" t="s">
        <v>107</v>
      </c>
      <c r="I89" t="s">
        <v>301</v>
      </c>
      <c r="K89" t="s">
        <v>636</v>
      </c>
      <c r="L89" s="7">
        <v>33.984000000000002</v>
      </c>
      <c r="M89" s="8">
        <v>43616</v>
      </c>
      <c r="N89">
        <v>5</v>
      </c>
      <c r="O89" t="s">
        <v>57</v>
      </c>
      <c r="P89">
        <v>2019</v>
      </c>
      <c r="Q89">
        <v>0.15029999999999999</v>
      </c>
      <c r="R89" s="10"/>
      <c r="S89">
        <f>ROUND(ТабCЕС[[#This Row],[Зелений Тариф ЕЦ]]+ТабCЕС[[#This Row],[Зелений Тариф ЕЦ]]*ТабCЕС[[#This Row],[% надбавки]],4)</f>
        <v>0.15029999999999999</v>
      </c>
      <c r="T89" s="8"/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6.0209999999999999</v>
      </c>
      <c r="AY89">
        <v>4.8860000000000001</v>
      </c>
      <c r="AZ89">
        <v>4.7939999999999996</v>
      </c>
    </row>
    <row r="90" spans="3:52">
      <c r="C90" t="s">
        <v>58</v>
      </c>
      <c r="D90" t="s">
        <v>384</v>
      </c>
      <c r="F90" s="1" t="s">
        <v>637</v>
      </c>
      <c r="G90" s="1" t="s">
        <v>638</v>
      </c>
      <c r="H90" t="s">
        <v>107</v>
      </c>
      <c r="I90" t="s">
        <v>301</v>
      </c>
      <c r="K90" t="s">
        <v>639</v>
      </c>
      <c r="L90" s="7">
        <v>6</v>
      </c>
      <c r="M90" s="8">
        <v>42943</v>
      </c>
      <c r="N90">
        <v>7</v>
      </c>
      <c r="O90" t="s">
        <v>60</v>
      </c>
      <c r="P90">
        <v>2017</v>
      </c>
      <c r="Q90">
        <v>0.15029999999999999</v>
      </c>
      <c r="R90" s="10">
        <v>0.05</v>
      </c>
      <c r="S90">
        <f>ROUND(ТабCЕС[[#This Row],[Зелений Тариф ЕЦ]]+ТабCЕС[[#This Row],[Зелений Тариф ЕЦ]]*ТабCЕС[[#This Row],[% надбавки]],4)</f>
        <v>0.1578</v>
      </c>
      <c r="T90" s="8">
        <v>43130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0.69599999999999995</v>
      </c>
      <c r="AD90">
        <v>0.31699999999999995</v>
      </c>
      <c r="AE90">
        <v>0.14000000000000012</v>
      </c>
      <c r="AF90">
        <v>7.4999999999999956E-2</v>
      </c>
      <c r="AG90">
        <v>0.19400000000000001</v>
      </c>
      <c r="AH90">
        <v>0.28999999999999998</v>
      </c>
      <c r="AI90">
        <v>0.50600000000000001</v>
      </c>
      <c r="AJ90">
        <v>0.90500000000000003</v>
      </c>
      <c r="AK90">
        <v>1.1000000000000001</v>
      </c>
      <c r="AL90">
        <v>0.96899999999999997</v>
      </c>
      <c r="AM90">
        <v>0.84799999999999998</v>
      </c>
      <c r="AN90">
        <v>0.98099999999999998</v>
      </c>
      <c r="AO90">
        <v>0.68200000000000005</v>
      </c>
      <c r="AP90">
        <v>0.55500000000000005</v>
      </c>
      <c r="AQ90">
        <v>0.22</v>
      </c>
      <c r="AR90">
        <v>1.4E-2</v>
      </c>
      <c r="AS90">
        <v>0.127</v>
      </c>
      <c r="AT90">
        <v>0.27700000000000002</v>
      </c>
      <c r="AU90">
        <v>0.58299999999999996</v>
      </c>
      <c r="AV90">
        <v>0.78300000000000003</v>
      </c>
      <c r="AW90">
        <v>0.85699999999999998</v>
      </c>
      <c r="AX90">
        <v>1.0629999999999999</v>
      </c>
      <c r="AY90">
        <v>0.95</v>
      </c>
      <c r="AZ90">
        <v>0.91600000000000004</v>
      </c>
    </row>
    <row r="91" spans="3:52">
      <c r="C91" t="s">
        <v>58</v>
      </c>
      <c r="D91" t="s">
        <v>384</v>
      </c>
      <c r="F91" s="1" t="s">
        <v>640</v>
      </c>
      <c r="G91" s="1" t="s">
        <v>641</v>
      </c>
      <c r="H91" t="s">
        <v>107</v>
      </c>
      <c r="I91" t="s">
        <v>301</v>
      </c>
      <c r="K91" t="s">
        <v>639</v>
      </c>
      <c r="L91" s="7">
        <v>11.641999999999999</v>
      </c>
      <c r="M91" s="8">
        <v>43616</v>
      </c>
      <c r="N91">
        <v>5</v>
      </c>
      <c r="O91" t="s">
        <v>57</v>
      </c>
      <c r="P91">
        <v>2019</v>
      </c>
      <c r="Q91">
        <v>0.15029999999999999</v>
      </c>
      <c r="R91" s="10"/>
      <c r="S91">
        <f>ROUND(ТабCЕС[[#This Row],[Зелений Тариф ЕЦ]]+ТабCЕС[[#This Row],[Зелений Тариф ЕЦ]]*ТабCЕС[[#This Row],[% надбавки]],4)</f>
        <v>0.15029999999999999</v>
      </c>
      <c r="T91" s="8"/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1.8759999999999999</v>
      </c>
      <c r="AY91">
        <v>1.712</v>
      </c>
      <c r="AZ91">
        <v>1.758</v>
      </c>
    </row>
    <row r="92" spans="3:52">
      <c r="C92" t="s">
        <v>58</v>
      </c>
      <c r="D92" t="s">
        <v>384</v>
      </c>
      <c r="F92" s="1" t="s">
        <v>642</v>
      </c>
      <c r="G92" s="1" t="s">
        <v>643</v>
      </c>
      <c r="H92" t="s">
        <v>107</v>
      </c>
      <c r="I92" t="s">
        <v>301</v>
      </c>
      <c r="K92" t="s">
        <v>639</v>
      </c>
      <c r="L92" s="7">
        <v>11.975</v>
      </c>
      <c r="M92" s="8">
        <v>43616</v>
      </c>
      <c r="N92">
        <v>5</v>
      </c>
      <c r="O92" t="s">
        <v>57</v>
      </c>
      <c r="P92">
        <v>2019</v>
      </c>
      <c r="Q92">
        <v>0.15029999999999999</v>
      </c>
      <c r="R92" s="10"/>
      <c r="S92">
        <f>ROUND(ТабCЕС[[#This Row],[Зелений Тариф ЕЦ]]+ТабCЕС[[#This Row],[Зелений Тариф ЕЦ]]*ТабCЕС[[#This Row],[% надбавки]],4)</f>
        <v>0.15029999999999999</v>
      </c>
      <c r="T92" s="8"/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1.901</v>
      </c>
      <c r="AY92">
        <v>1.7529999999999999</v>
      </c>
      <c r="AZ92">
        <v>1.8109999999999999</v>
      </c>
    </row>
    <row r="93" spans="3:52">
      <c r="C93" t="s">
        <v>58</v>
      </c>
      <c r="D93" t="s">
        <v>384</v>
      </c>
      <c r="F93" s="1" t="s">
        <v>644</v>
      </c>
      <c r="G93" s="1" t="s">
        <v>645</v>
      </c>
      <c r="H93" t="s">
        <v>122</v>
      </c>
      <c r="I93" t="s">
        <v>646</v>
      </c>
      <c r="K93" t="s">
        <v>647</v>
      </c>
      <c r="L93" s="7">
        <v>1.6439999999999999</v>
      </c>
      <c r="M93" s="8">
        <v>42838</v>
      </c>
      <c r="N93">
        <v>4</v>
      </c>
      <c r="O93" t="s">
        <v>57</v>
      </c>
      <c r="P93">
        <v>2017</v>
      </c>
      <c r="Q93">
        <v>0.15989999999999999</v>
      </c>
      <c r="R93" s="10"/>
      <c r="S93">
        <f>ROUND(ТабCЕС[[#This Row],[Зелений Тариф ЕЦ]]+ТабCЕС[[#This Row],[Зелений Тариф ЕЦ]]*ТабCЕС[[#This Row],[% надбавки]],4)</f>
        <v>0.15989999999999999</v>
      </c>
      <c r="T93" s="8"/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0.26400000000000001</v>
      </c>
      <c r="AB93">
        <v>0.25800000000000001</v>
      </c>
      <c r="AC93">
        <v>0.22299999999999998</v>
      </c>
      <c r="AD93">
        <v>9.3999999999999972E-2</v>
      </c>
      <c r="AE93">
        <v>4.7000000000000042E-2</v>
      </c>
      <c r="AF93">
        <v>2.8000000000000025E-2</v>
      </c>
      <c r="AG93">
        <v>4.1000000000000002E-2</v>
      </c>
      <c r="AH93">
        <v>7.4999999999999997E-2</v>
      </c>
      <c r="AI93">
        <v>0.158</v>
      </c>
      <c r="AJ93">
        <v>0.24399999999999999</v>
      </c>
      <c r="AK93">
        <v>0.28100000000000003</v>
      </c>
      <c r="AL93">
        <v>0.29099999999999998</v>
      </c>
      <c r="AM93">
        <v>0.25800000000000001</v>
      </c>
      <c r="AN93">
        <v>0.29199999999999998</v>
      </c>
      <c r="AO93">
        <v>0.185</v>
      </c>
      <c r="AP93">
        <v>0.17100000000000001</v>
      </c>
      <c r="AQ93">
        <v>7.2999999999999995E-2</v>
      </c>
      <c r="AR93">
        <v>1.2999999999999999E-2</v>
      </c>
      <c r="AS93">
        <v>4.5999999999999999E-2</v>
      </c>
      <c r="AT93">
        <v>7.0000000000000007E-2</v>
      </c>
      <c r="AU93">
        <v>0.161</v>
      </c>
      <c r="AV93">
        <v>0.23</v>
      </c>
      <c r="AW93">
        <v>0.253</v>
      </c>
      <c r="AX93">
        <v>0.28599999999999998</v>
      </c>
      <c r="AY93">
        <v>0.27100000000000002</v>
      </c>
      <c r="AZ93">
        <v>0.26</v>
      </c>
    </row>
    <row r="94" spans="3:52">
      <c r="C94" t="s">
        <v>58</v>
      </c>
      <c r="D94" t="s">
        <v>384</v>
      </c>
      <c r="F94" s="1" t="s">
        <v>644</v>
      </c>
      <c r="G94" s="1" t="s">
        <v>384</v>
      </c>
      <c r="H94" t="s">
        <v>122</v>
      </c>
      <c r="I94" t="s">
        <v>648</v>
      </c>
      <c r="K94" t="s">
        <v>649</v>
      </c>
      <c r="L94" s="7">
        <v>9.359</v>
      </c>
      <c r="M94" s="8">
        <v>43613</v>
      </c>
      <c r="N94">
        <v>5</v>
      </c>
      <c r="O94" t="s">
        <v>57</v>
      </c>
      <c r="P94">
        <v>2019</v>
      </c>
      <c r="Q94">
        <v>0.15029999999999999</v>
      </c>
      <c r="R94" s="10">
        <v>0.05</v>
      </c>
      <c r="S94">
        <f>ROUND(ТабCЕС[[#This Row],[Зелений Тариф ЕЦ]]+ТабCЕС[[#This Row],[Зелений Тариф ЕЦ]]*ТабCЕС[[#This Row],[% надбавки]],4)</f>
        <v>0.1578</v>
      </c>
      <c r="T94" s="8">
        <v>43641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0.88300000000000001</v>
      </c>
      <c r="AZ94">
        <v>1.5</v>
      </c>
    </row>
    <row r="95" spans="3:52">
      <c r="C95" t="s">
        <v>58</v>
      </c>
      <c r="D95" t="s">
        <v>384</v>
      </c>
      <c r="F95" s="1" t="s">
        <v>650</v>
      </c>
      <c r="G95" s="1" t="s">
        <v>384</v>
      </c>
      <c r="H95" t="s">
        <v>122</v>
      </c>
      <c r="I95" t="s">
        <v>316</v>
      </c>
      <c r="K95" t="s">
        <v>651</v>
      </c>
      <c r="L95" s="7">
        <v>2.16</v>
      </c>
      <c r="M95" s="8">
        <v>43441</v>
      </c>
      <c r="N95">
        <v>12</v>
      </c>
      <c r="O95" t="s">
        <v>71</v>
      </c>
      <c r="P95">
        <v>2018</v>
      </c>
      <c r="Q95">
        <v>0.15029999999999999</v>
      </c>
      <c r="R95" s="10"/>
      <c r="S95">
        <f>ROUND(ТабCЕС[[#This Row],[Зелений Тариф ЕЦ]]+ТабCЕС[[#This Row],[Зелений Тариф ЕЦ]]*ТабCЕС[[#This Row],[% надбавки]],4)</f>
        <v>0.15029999999999999</v>
      </c>
      <c r="T95" s="8"/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0.34300000000000003</v>
      </c>
      <c r="AY95">
        <v>0.33700000000000002</v>
      </c>
      <c r="AZ95">
        <v>0.34100000000000003</v>
      </c>
    </row>
    <row r="96" spans="3:52">
      <c r="C96" t="s">
        <v>58</v>
      </c>
      <c r="D96" t="s">
        <v>384</v>
      </c>
      <c r="F96" s="1" t="s">
        <v>652</v>
      </c>
      <c r="G96" s="1" t="s">
        <v>408</v>
      </c>
      <c r="H96" t="s">
        <v>198</v>
      </c>
      <c r="I96" t="s">
        <v>653</v>
      </c>
      <c r="K96" t="s">
        <v>654</v>
      </c>
      <c r="L96" s="7">
        <v>1.794</v>
      </c>
      <c r="M96" s="8">
        <v>43637</v>
      </c>
      <c r="N96">
        <v>6</v>
      </c>
      <c r="O96" t="s">
        <v>57</v>
      </c>
      <c r="P96">
        <v>2019</v>
      </c>
      <c r="Q96">
        <v>0.15029999999999999</v>
      </c>
      <c r="R96" s="10"/>
      <c r="S96">
        <f>ROUND(ТабCЕС[[#This Row],[Зелений Тариф ЕЦ]]+ТабCЕС[[#This Row],[Зелений Тариф ЕЦ]]*ТабCЕС[[#This Row],[% надбавки]],4)</f>
        <v>0.15029999999999999</v>
      </c>
      <c r="T96" s="8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2:52">
      <c r="B97" t="s">
        <v>655</v>
      </c>
      <c r="C97">
        <v>36965561</v>
      </c>
      <c r="D97" t="s">
        <v>384</v>
      </c>
      <c r="F97" s="1" t="s">
        <v>656</v>
      </c>
      <c r="G97" s="1" t="s">
        <v>384</v>
      </c>
      <c r="H97" t="s">
        <v>101</v>
      </c>
      <c r="I97" t="s">
        <v>657</v>
      </c>
      <c r="K97" t="s">
        <v>658</v>
      </c>
      <c r="L97" s="7">
        <v>21.515999999999998</v>
      </c>
      <c r="M97" s="8">
        <v>41186</v>
      </c>
      <c r="N97">
        <v>10</v>
      </c>
      <c r="O97" t="s">
        <v>71</v>
      </c>
      <c r="P97">
        <v>2012</v>
      </c>
      <c r="Q97">
        <v>0.25850000000000001</v>
      </c>
      <c r="R97" s="10"/>
      <c r="S97">
        <f>ROUND(ТабCЕС[[#This Row],[Зелений Тариф ЕЦ]]+ТабCЕС[[#This Row],[Зелений Тариф ЕЦ]]*ТабCЕС[[#This Row],[% надбавки]],4)</f>
        <v>0.25850000000000001</v>
      </c>
      <c r="T97" s="8"/>
      <c r="U97">
        <v>1.0980000000000001</v>
      </c>
      <c r="V97">
        <v>1.6039999999999999</v>
      </c>
      <c r="W97">
        <v>2.54</v>
      </c>
      <c r="X97">
        <v>2.9539999999999997</v>
      </c>
      <c r="Y97">
        <v>3.7430000000000003</v>
      </c>
      <c r="Z97">
        <v>3.6169999999999991</v>
      </c>
      <c r="AA97">
        <v>3.5540000000000003</v>
      </c>
      <c r="AB97">
        <v>3.4990000000000023</v>
      </c>
      <c r="AC97">
        <v>3.1539999999999999</v>
      </c>
      <c r="AD97">
        <v>2.032</v>
      </c>
      <c r="AE97">
        <v>0.84799999999999898</v>
      </c>
      <c r="AF97">
        <v>0.86599999999999966</v>
      </c>
      <c r="AG97">
        <v>1.109</v>
      </c>
      <c r="AH97">
        <v>0.96399999999999997</v>
      </c>
      <c r="AI97">
        <v>1.95</v>
      </c>
      <c r="AJ97">
        <v>3.629</v>
      </c>
      <c r="AK97">
        <v>3.653</v>
      </c>
      <c r="AL97">
        <v>3.2469999999999999</v>
      </c>
      <c r="AM97">
        <v>3.177</v>
      </c>
      <c r="AN97">
        <v>3.677</v>
      </c>
      <c r="AO97">
        <v>2.6059999999999999</v>
      </c>
      <c r="AP97">
        <v>2.7109999999999999</v>
      </c>
      <c r="AQ97">
        <v>0.60899999999999999</v>
      </c>
      <c r="AR97">
        <v>0.68</v>
      </c>
      <c r="AS97">
        <v>0.77300000000000002</v>
      </c>
      <c r="AT97">
        <v>1.3480000000000001</v>
      </c>
      <c r="AU97">
        <v>3.105</v>
      </c>
      <c r="AV97">
        <v>2.8889999999999998</v>
      </c>
      <c r="AW97">
        <v>3.28</v>
      </c>
      <c r="AX97">
        <v>3.3340000000000001</v>
      </c>
      <c r="AY97">
        <v>3.3479999999999999</v>
      </c>
      <c r="AZ97">
        <v>3.6259999999999999</v>
      </c>
    </row>
    <row r="98" spans="2:52">
      <c r="B98" t="s">
        <v>659</v>
      </c>
      <c r="C98">
        <v>36965598</v>
      </c>
      <c r="D98" t="s">
        <v>384</v>
      </c>
      <c r="F98" s="1" t="s">
        <v>660</v>
      </c>
      <c r="G98" s="1" t="s">
        <v>384</v>
      </c>
      <c r="H98" t="s">
        <v>101</v>
      </c>
      <c r="I98" t="s">
        <v>657</v>
      </c>
      <c r="K98" t="s">
        <v>658</v>
      </c>
      <c r="L98" s="7">
        <v>21.617999999999999</v>
      </c>
      <c r="M98" s="8">
        <v>41204</v>
      </c>
      <c r="N98">
        <v>10</v>
      </c>
      <c r="O98" t="s">
        <v>71</v>
      </c>
      <c r="P98">
        <v>2012</v>
      </c>
      <c r="Q98">
        <v>0.25850000000000001</v>
      </c>
      <c r="R98" s="10"/>
      <c r="S98">
        <f>ROUND(ТабCЕС[[#This Row],[Зелений Тариф ЕЦ]]+ТабCЕС[[#This Row],[Зелений Тариф ЕЦ]]*ТабCЕС[[#This Row],[% надбавки]],4)</f>
        <v>0.25850000000000001</v>
      </c>
      <c r="T98" s="8"/>
      <c r="U98">
        <v>1.069</v>
      </c>
      <c r="V98">
        <v>1.5950000000000002</v>
      </c>
      <c r="W98">
        <v>2.5329999999999999</v>
      </c>
      <c r="X98">
        <v>2.95</v>
      </c>
      <c r="Y98">
        <v>3.7359999999999989</v>
      </c>
      <c r="Z98">
        <v>3.5950000000000006</v>
      </c>
      <c r="AA98">
        <v>3.5329999999999995</v>
      </c>
      <c r="AB98">
        <v>3.490000000000002</v>
      </c>
      <c r="AC98">
        <v>3.1379999999999981</v>
      </c>
      <c r="AD98">
        <v>2.0250000000000021</v>
      </c>
      <c r="AE98">
        <v>0.84299999999999997</v>
      </c>
      <c r="AF98">
        <v>0.86199999999999832</v>
      </c>
      <c r="AG98">
        <v>1.103</v>
      </c>
      <c r="AH98">
        <v>0.94799999999999995</v>
      </c>
      <c r="AI98">
        <v>1.9259999999999999</v>
      </c>
      <c r="AJ98">
        <v>3.6150000000000002</v>
      </c>
      <c r="AK98">
        <v>3.6459999999999999</v>
      </c>
      <c r="AL98">
        <v>3.2290000000000001</v>
      </c>
      <c r="AM98">
        <v>3.1659999999999999</v>
      </c>
      <c r="AN98">
        <v>3.6589999999999998</v>
      </c>
      <c r="AO98">
        <v>2.5870000000000002</v>
      </c>
      <c r="AP98">
        <v>2.694</v>
      </c>
      <c r="AQ98">
        <v>0.60099999999999998</v>
      </c>
      <c r="AR98">
        <v>0.67200000000000004</v>
      </c>
      <c r="AS98">
        <v>0.76600000000000001</v>
      </c>
      <c r="AT98">
        <v>1.335</v>
      </c>
      <c r="AU98">
        <v>3.0910000000000002</v>
      </c>
      <c r="AV98">
        <v>2.879</v>
      </c>
      <c r="AW98">
        <v>3.266</v>
      </c>
      <c r="AX98">
        <v>3.319</v>
      </c>
      <c r="AY98">
        <v>3.3420000000000001</v>
      </c>
      <c r="AZ98">
        <v>3.6190000000000002</v>
      </c>
    </row>
    <row r="99" spans="2:52">
      <c r="C99" t="s">
        <v>58</v>
      </c>
      <c r="D99" t="s">
        <v>384</v>
      </c>
      <c r="F99" s="1" t="s">
        <v>661</v>
      </c>
      <c r="G99" s="1" t="s">
        <v>384</v>
      </c>
      <c r="H99" t="s">
        <v>62</v>
      </c>
      <c r="I99" t="s">
        <v>662</v>
      </c>
      <c r="K99" t="s">
        <v>663</v>
      </c>
      <c r="L99" s="7">
        <v>2.3759999999999999</v>
      </c>
      <c r="M99" s="8">
        <v>43596</v>
      </c>
      <c r="N99">
        <v>5</v>
      </c>
      <c r="O99" t="s">
        <v>57</v>
      </c>
      <c r="P99">
        <v>2019</v>
      </c>
      <c r="Q99">
        <v>0.15029999999999999</v>
      </c>
      <c r="R99" s="10"/>
      <c r="S99">
        <f>ROUND(ТабCЕС[[#This Row],[Зелений Тариф ЕЦ]]+ТабCЕС[[#This Row],[Зелений Тариф ЕЦ]]*ТабCЕС[[#This Row],[% надбавки]],4)</f>
        <v>0.15029999999999999</v>
      </c>
      <c r="T99" s="8"/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0.38200000000000001</v>
      </c>
      <c r="AY99">
        <v>0.36799999999999999</v>
      </c>
      <c r="AZ99">
        <v>0.35199999999999998</v>
      </c>
    </row>
    <row r="100" spans="2:52">
      <c r="C100" t="s">
        <v>58</v>
      </c>
      <c r="D100" t="s">
        <v>384</v>
      </c>
      <c r="F100" s="1" t="s">
        <v>664</v>
      </c>
      <c r="G100" s="1" t="s">
        <v>665</v>
      </c>
      <c r="H100" t="s">
        <v>198</v>
      </c>
      <c r="K100" t="s">
        <v>666</v>
      </c>
      <c r="L100" s="7">
        <v>0.52700000000000002</v>
      </c>
      <c r="M100" s="8">
        <v>43158</v>
      </c>
      <c r="N100">
        <v>2</v>
      </c>
      <c r="O100" t="s">
        <v>67</v>
      </c>
      <c r="P100">
        <v>2018</v>
      </c>
      <c r="Q100">
        <v>0.15029999999999999</v>
      </c>
      <c r="R100" s="10"/>
      <c r="S100">
        <f>ROUND(ТабCЕС[[#This Row],[Зелений Тариф ЕЦ]]+ТабCЕС[[#This Row],[Зелений Тариф ЕЦ]]*ТабCЕС[[#This Row],[% надбавки]],4)</f>
        <v>0.15029999999999999</v>
      </c>
      <c r="T100" s="8"/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6.4000000000000001E-2</v>
      </c>
      <c r="AN100">
        <v>8.7999999999999995E-2</v>
      </c>
      <c r="AO100">
        <v>5.5E-2</v>
      </c>
      <c r="AP100">
        <v>4.9000000000000002E-2</v>
      </c>
      <c r="AQ100">
        <v>1.2E-2</v>
      </c>
      <c r="AR100">
        <v>4.0000000000000001E-3</v>
      </c>
      <c r="AS100">
        <v>3.0000000000000001E-3</v>
      </c>
      <c r="AT100">
        <v>2.3E-2</v>
      </c>
      <c r="AU100">
        <v>4.8000000000000001E-2</v>
      </c>
      <c r="AV100">
        <v>6.7000000000000004E-2</v>
      </c>
      <c r="AW100">
        <v>7.1999999999999995E-2</v>
      </c>
      <c r="AX100">
        <v>8.6999999999999994E-2</v>
      </c>
      <c r="AY100">
        <v>7.8E-2</v>
      </c>
      <c r="AZ100">
        <v>7.8E-2</v>
      </c>
    </row>
    <row r="101" spans="2:52">
      <c r="C101" t="s">
        <v>58</v>
      </c>
      <c r="D101" t="s">
        <v>384</v>
      </c>
      <c r="F101" s="1" t="s">
        <v>667</v>
      </c>
      <c r="G101" s="1" t="s">
        <v>384</v>
      </c>
      <c r="H101" t="s">
        <v>136</v>
      </c>
      <c r="I101" t="s">
        <v>575</v>
      </c>
      <c r="K101" t="s">
        <v>576</v>
      </c>
      <c r="L101" s="7">
        <v>12.367000000000001</v>
      </c>
      <c r="M101" s="8">
        <v>43312</v>
      </c>
      <c r="N101">
        <v>7</v>
      </c>
      <c r="O101" t="s">
        <v>60</v>
      </c>
      <c r="P101">
        <v>2018</v>
      </c>
      <c r="Q101">
        <v>0.15029999999999999</v>
      </c>
      <c r="R101" s="10">
        <v>0.05</v>
      </c>
      <c r="S101">
        <f>ROUND(ТабCЕС[[#This Row],[Зелений Тариф ЕЦ]]+ТабCЕС[[#This Row],[Зелений Тариф ЕЦ]]*ТабCЕС[[#This Row],[% надбавки]],4)</f>
        <v>0.1578</v>
      </c>
      <c r="T101" s="8">
        <v>43368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2.0579999999999998</v>
      </c>
      <c r="AO101">
        <v>1.268</v>
      </c>
      <c r="AP101">
        <v>1.2609999999999999</v>
      </c>
      <c r="AQ101">
        <v>0.38100000000000001</v>
      </c>
      <c r="AR101">
        <v>0.11899999999999999</v>
      </c>
      <c r="AS101">
        <v>0.251</v>
      </c>
      <c r="AT101">
        <v>0.55400000000000005</v>
      </c>
      <c r="AU101">
        <v>1.2709999999999999</v>
      </c>
      <c r="AV101">
        <v>1.6060000000000001</v>
      </c>
      <c r="AW101">
        <v>1.446</v>
      </c>
      <c r="AX101">
        <v>2.0419999999999998</v>
      </c>
      <c r="AY101">
        <v>1.95</v>
      </c>
      <c r="AZ101">
        <v>1.8620000000000001</v>
      </c>
    </row>
    <row r="102" spans="2:52">
      <c r="C102" t="s">
        <v>58</v>
      </c>
      <c r="D102" t="s">
        <v>384</v>
      </c>
      <c r="F102" s="1" t="s">
        <v>668</v>
      </c>
      <c r="G102" s="1" t="s">
        <v>384</v>
      </c>
      <c r="H102" t="s">
        <v>136</v>
      </c>
      <c r="I102" t="s">
        <v>621</v>
      </c>
      <c r="K102" t="s">
        <v>669</v>
      </c>
      <c r="L102" s="7">
        <v>6.1980000000000004</v>
      </c>
      <c r="M102" s="8">
        <v>43522</v>
      </c>
      <c r="N102">
        <v>2</v>
      </c>
      <c r="O102" t="s">
        <v>67</v>
      </c>
      <c r="P102">
        <v>2019</v>
      </c>
      <c r="Q102">
        <v>0.15029999999999999</v>
      </c>
      <c r="R102" s="10"/>
      <c r="S102">
        <f>ROUND(ТабCЕС[[#This Row],[Зелений Тариф ЕЦ]]+ТабCЕС[[#This Row],[Зелений Тариф ЕЦ]]*ТабCЕС[[#This Row],[% надбавки]],4)</f>
        <v>0.15029999999999999</v>
      </c>
      <c r="T102" s="8"/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0.23799999999999999</v>
      </c>
      <c r="AU102">
        <v>0.64400000000000002</v>
      </c>
      <c r="AV102">
        <v>0.88</v>
      </c>
      <c r="AW102">
        <v>0.89</v>
      </c>
      <c r="AX102">
        <v>0.90400000000000003</v>
      </c>
      <c r="AY102">
        <v>1.008</v>
      </c>
      <c r="AZ102">
        <v>0.98699999999999999</v>
      </c>
    </row>
    <row r="103" spans="2:52">
      <c r="C103" t="s">
        <v>58</v>
      </c>
      <c r="D103" t="s">
        <v>384</v>
      </c>
      <c r="F103" s="1" t="s">
        <v>670</v>
      </c>
      <c r="G103" s="1" t="s">
        <v>384</v>
      </c>
      <c r="H103" t="s">
        <v>136</v>
      </c>
      <c r="I103" t="s">
        <v>386</v>
      </c>
      <c r="K103" t="s">
        <v>671</v>
      </c>
      <c r="L103" s="7">
        <v>0.252</v>
      </c>
      <c r="M103" s="8">
        <v>43111</v>
      </c>
      <c r="N103">
        <v>1</v>
      </c>
      <c r="O103" t="s">
        <v>67</v>
      </c>
      <c r="P103">
        <v>2018</v>
      </c>
      <c r="Q103">
        <v>0.15029999999999999</v>
      </c>
      <c r="R103" s="10"/>
      <c r="S103">
        <f>ROUND(ТабCЕС[[#This Row],[Зелений Тариф ЕЦ]]+ТабCЕС[[#This Row],[Зелений Тариф ЕЦ]]*ТабCЕС[[#This Row],[% надбавки]],4)</f>
        <v>0.15029999999999999</v>
      </c>
      <c r="T103" s="8"/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2E-3</v>
      </c>
      <c r="AH103">
        <v>8.0000000000000002E-3</v>
      </c>
      <c r="AI103">
        <v>1.7000000000000001E-2</v>
      </c>
      <c r="AJ103">
        <v>0.03</v>
      </c>
      <c r="AK103">
        <v>4.2999999999999997E-2</v>
      </c>
      <c r="AL103">
        <v>3.2000000000000001E-2</v>
      </c>
      <c r="AM103">
        <v>3.5999999999999997E-2</v>
      </c>
      <c r="AN103">
        <v>4.2000000000000003E-2</v>
      </c>
      <c r="AO103">
        <v>2.4E-2</v>
      </c>
      <c r="AP103">
        <v>1.7000000000000001E-2</v>
      </c>
      <c r="AQ103">
        <v>8.0000000000000002E-3</v>
      </c>
      <c r="AR103">
        <v>1E-3</v>
      </c>
      <c r="AS103">
        <v>2E-3</v>
      </c>
      <c r="AT103">
        <v>1.2E-2</v>
      </c>
      <c r="AU103">
        <v>2.4E-2</v>
      </c>
      <c r="AV103">
        <v>3.2000000000000001E-2</v>
      </c>
      <c r="AW103">
        <v>3.4000000000000002E-2</v>
      </c>
      <c r="AX103">
        <v>2.8000000000000001E-2</v>
      </c>
      <c r="AY103">
        <v>3.9E-2</v>
      </c>
      <c r="AZ103">
        <v>3.6999999999999998E-2</v>
      </c>
    </row>
    <row r="104" spans="2:52">
      <c r="C104" t="s">
        <v>58</v>
      </c>
      <c r="D104" t="s">
        <v>384</v>
      </c>
      <c r="F104" s="1" t="s">
        <v>672</v>
      </c>
      <c r="G104" s="1" t="s">
        <v>384</v>
      </c>
      <c r="H104" t="s">
        <v>85</v>
      </c>
      <c r="I104" t="s">
        <v>673</v>
      </c>
      <c r="J104" t="s">
        <v>673</v>
      </c>
      <c r="K104" t="s">
        <v>673</v>
      </c>
      <c r="L104" s="7">
        <v>0.03</v>
      </c>
      <c r="M104" s="8">
        <v>40759</v>
      </c>
      <c r="N104">
        <v>8</v>
      </c>
      <c r="O104" t="s">
        <v>60</v>
      </c>
      <c r="P104">
        <v>2011</v>
      </c>
      <c r="Q104">
        <v>0.46529999999999999</v>
      </c>
      <c r="R104" s="10"/>
      <c r="S104">
        <f>ROUND(ТабCЕС[[#This Row],[Зелений Тариф ЕЦ]]+ТабCЕС[[#This Row],[Зелений Тариф ЕЦ]]*ТабCЕС[[#This Row],[% надбавки]],4)</f>
        <v>0.46529999999999999</v>
      </c>
      <c r="T104" s="8"/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2:52">
      <c r="B105" t="s">
        <v>674</v>
      </c>
      <c r="C105">
        <v>38147712</v>
      </c>
      <c r="D105" t="s">
        <v>384</v>
      </c>
      <c r="F105" s="1" t="s">
        <v>675</v>
      </c>
      <c r="G105" s="1" t="s">
        <v>384</v>
      </c>
      <c r="H105" t="s">
        <v>101</v>
      </c>
      <c r="I105" t="s">
        <v>676</v>
      </c>
      <c r="K105" t="s">
        <v>677</v>
      </c>
      <c r="L105" s="7">
        <v>4.03</v>
      </c>
      <c r="M105" s="8">
        <v>42586</v>
      </c>
      <c r="N105">
        <v>8</v>
      </c>
      <c r="O105" t="s">
        <v>60</v>
      </c>
      <c r="P105">
        <v>2016</v>
      </c>
      <c r="Q105">
        <v>0.1696</v>
      </c>
      <c r="R105" s="10"/>
      <c r="S105">
        <f>ROUND(ТабCЕС[[#This Row],[Зелений Тариф ЕЦ]]+ТабCЕС[[#This Row],[Зелений Тариф ЕЦ]]*ТабCЕС[[#This Row],[% надбавки]],4)</f>
        <v>0.1696</v>
      </c>
      <c r="T105" s="8"/>
      <c r="U105">
        <v>0.22700000000000001</v>
      </c>
      <c r="V105">
        <v>0.24000000000000002</v>
      </c>
      <c r="W105">
        <v>0.44900000000000001</v>
      </c>
      <c r="X105">
        <v>0.56399999999999995</v>
      </c>
      <c r="Y105">
        <v>0.67499999999999982</v>
      </c>
      <c r="Z105">
        <v>0.68000000000000016</v>
      </c>
      <c r="AA105">
        <v>0.65500000000000025</v>
      </c>
      <c r="AB105">
        <v>0.61599999999999966</v>
      </c>
      <c r="AC105">
        <v>0.52400000000000002</v>
      </c>
      <c r="AD105">
        <v>0.25699999999999967</v>
      </c>
      <c r="AE105">
        <v>0.12000000000000011</v>
      </c>
      <c r="AF105">
        <v>0.10800000000000054</v>
      </c>
      <c r="AG105">
        <v>0.17299999999999999</v>
      </c>
      <c r="AH105">
        <v>0.126</v>
      </c>
      <c r="AI105">
        <v>0.33200000000000002</v>
      </c>
      <c r="AJ105">
        <v>0.62</v>
      </c>
      <c r="AK105">
        <v>0.69199999999999995</v>
      </c>
      <c r="AL105">
        <v>0.63100000000000001</v>
      </c>
      <c r="AM105">
        <v>0.64600000000000002</v>
      </c>
      <c r="AN105">
        <v>0.68899999999999995</v>
      </c>
      <c r="AO105">
        <v>0.43099999999999999</v>
      </c>
      <c r="AP105">
        <v>0.45300000000000001</v>
      </c>
      <c r="AQ105">
        <v>0.14199999999999999</v>
      </c>
      <c r="AR105">
        <v>4.2999999999999997E-2</v>
      </c>
      <c r="AS105">
        <v>0.10100000000000001</v>
      </c>
      <c r="AT105">
        <v>0.17799999999999999</v>
      </c>
      <c r="AU105">
        <v>0.47899999999999998</v>
      </c>
      <c r="AV105">
        <v>0.53800000000000003</v>
      </c>
      <c r="AW105">
        <v>0.58299999999999996</v>
      </c>
      <c r="AX105">
        <v>0.65500000000000003</v>
      </c>
      <c r="AY105">
        <v>0.64600000000000002</v>
      </c>
      <c r="AZ105">
        <v>0.64100000000000001</v>
      </c>
    </row>
    <row r="106" spans="2:52">
      <c r="C106" t="s">
        <v>58</v>
      </c>
      <c r="D106" t="s">
        <v>384</v>
      </c>
      <c r="F106" s="1" t="s">
        <v>678</v>
      </c>
      <c r="G106" s="1" t="s">
        <v>679</v>
      </c>
      <c r="H106" t="s">
        <v>122</v>
      </c>
      <c r="I106" t="s">
        <v>648</v>
      </c>
      <c r="K106" t="s">
        <v>680</v>
      </c>
      <c r="L106" s="7">
        <v>3.2789999999999999</v>
      </c>
      <c r="M106" s="8">
        <v>43340</v>
      </c>
      <c r="N106">
        <v>8</v>
      </c>
      <c r="O106" t="s">
        <v>60</v>
      </c>
      <c r="P106">
        <v>2018</v>
      </c>
      <c r="Q106">
        <v>0.15029999999999999</v>
      </c>
      <c r="R106" s="10"/>
      <c r="S106">
        <f>ROUND(ТабCЕС[[#This Row],[Зелений Тариф ЕЦ]]+ТабCЕС[[#This Row],[Зелений Тариф ЕЦ]]*ТабCЕС[[#This Row],[% надбавки]],4)</f>
        <v>0.15029999999999999</v>
      </c>
      <c r="T106" s="8"/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0.49199999999999999</v>
      </c>
      <c r="AX106">
        <v>0.54600000000000004</v>
      </c>
      <c r="AY106">
        <v>0.78800000000000003</v>
      </c>
      <c r="AZ106">
        <v>0.875</v>
      </c>
    </row>
    <row r="107" spans="2:52">
      <c r="C107" t="s">
        <v>58</v>
      </c>
      <c r="D107" t="s">
        <v>384</v>
      </c>
      <c r="F107" s="1" t="s">
        <v>678</v>
      </c>
      <c r="G107" s="1" t="s">
        <v>410</v>
      </c>
      <c r="H107" t="s">
        <v>122</v>
      </c>
      <c r="I107" t="s">
        <v>648</v>
      </c>
      <c r="K107" t="s">
        <v>680</v>
      </c>
      <c r="L107" s="7">
        <v>2.21</v>
      </c>
      <c r="M107" s="8">
        <v>43627</v>
      </c>
      <c r="N107">
        <v>6</v>
      </c>
      <c r="O107" t="s">
        <v>57</v>
      </c>
      <c r="P107">
        <v>2019</v>
      </c>
      <c r="Q107">
        <v>0.15029999999999999</v>
      </c>
      <c r="R107" s="10"/>
      <c r="S107">
        <f>ROUND(ТабCЕС[[#This Row],[Зелений Тариф ЕЦ]]+ТабCЕС[[#This Row],[Зелений Тариф ЕЦ]]*ТабCЕС[[#This Row],[% надбавки]],4)</f>
        <v>0.15029999999999999</v>
      </c>
      <c r="T107" s="8"/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2:52">
      <c r="B108" t="s">
        <v>681</v>
      </c>
      <c r="C108">
        <v>34916067</v>
      </c>
      <c r="D108" t="s">
        <v>384</v>
      </c>
      <c r="F108" s="1" t="s">
        <v>682</v>
      </c>
      <c r="G108" s="1" t="s">
        <v>683</v>
      </c>
      <c r="H108" t="s">
        <v>122</v>
      </c>
      <c r="I108" t="s">
        <v>648</v>
      </c>
      <c r="K108" t="s">
        <v>684</v>
      </c>
      <c r="L108" s="7">
        <v>2.4700000000000002</v>
      </c>
      <c r="M108" s="8">
        <v>42787</v>
      </c>
      <c r="N108">
        <v>2</v>
      </c>
      <c r="O108" t="s">
        <v>67</v>
      </c>
      <c r="P108">
        <v>2017</v>
      </c>
      <c r="Q108">
        <v>0.15989999999999999</v>
      </c>
      <c r="R108" s="10"/>
      <c r="S108">
        <f>ROUND(ТабCЕС[[#This Row],[Зелений Тариф ЕЦ]]+ТабCЕС[[#This Row],[Зелений Тариф ЕЦ]]*ТабCЕС[[#This Row],[% надбавки]],4)</f>
        <v>0.15989999999999999</v>
      </c>
      <c r="T108" s="8"/>
      <c r="U108">
        <v>0</v>
      </c>
      <c r="V108">
        <v>0</v>
      </c>
      <c r="W108">
        <v>0</v>
      </c>
      <c r="X108">
        <v>0</v>
      </c>
      <c r="Y108">
        <v>0</v>
      </c>
      <c r="Z108">
        <v>0.35599999999999998</v>
      </c>
      <c r="AA108">
        <v>0.38300000000000001</v>
      </c>
      <c r="AB108">
        <v>0.36399999999999999</v>
      </c>
      <c r="AC108">
        <v>0.33899999999999997</v>
      </c>
      <c r="AD108">
        <v>0.13900000000000001</v>
      </c>
      <c r="AE108">
        <v>6.800000000000006E-2</v>
      </c>
      <c r="AF108">
        <v>3.8999999999999924E-2</v>
      </c>
      <c r="AG108">
        <v>4.1000000000000002E-2</v>
      </c>
      <c r="AH108">
        <v>0.106</v>
      </c>
      <c r="AI108">
        <v>0.216</v>
      </c>
      <c r="AJ108">
        <v>0.38100000000000001</v>
      </c>
      <c r="AK108">
        <v>0.42299999999999999</v>
      </c>
      <c r="AL108">
        <v>0.40500000000000003</v>
      </c>
      <c r="AM108">
        <v>0.374</v>
      </c>
      <c r="AN108">
        <v>0.43099999999999999</v>
      </c>
      <c r="AO108">
        <v>0.255</v>
      </c>
      <c r="AP108">
        <v>0.26300000000000001</v>
      </c>
      <c r="AQ108">
        <v>0.10199999999999999</v>
      </c>
      <c r="AR108">
        <v>2.1999999999999999E-2</v>
      </c>
      <c r="AS108">
        <v>4.9000000000000002E-2</v>
      </c>
      <c r="AT108">
        <v>0.109</v>
      </c>
      <c r="AU108">
        <v>0.26500000000000001</v>
      </c>
      <c r="AV108">
        <v>0.35699999999999998</v>
      </c>
      <c r="AW108">
        <v>0.36599999999999999</v>
      </c>
      <c r="AX108">
        <v>0.42</v>
      </c>
      <c r="AY108">
        <v>0.42699999999999999</v>
      </c>
      <c r="AZ108">
        <v>0.375</v>
      </c>
    </row>
    <row r="109" spans="2:52">
      <c r="B109" t="s">
        <v>685</v>
      </c>
      <c r="C109">
        <v>34916067</v>
      </c>
      <c r="D109" t="s">
        <v>384</v>
      </c>
      <c r="F109" s="1" t="s">
        <v>682</v>
      </c>
      <c r="G109" s="1" t="s">
        <v>686</v>
      </c>
      <c r="H109" t="s">
        <v>122</v>
      </c>
      <c r="I109" t="s">
        <v>648</v>
      </c>
      <c r="K109" t="s">
        <v>684</v>
      </c>
      <c r="L109" s="7">
        <v>1.3</v>
      </c>
      <c r="M109" s="8">
        <v>43182</v>
      </c>
      <c r="N109">
        <v>3</v>
      </c>
      <c r="O109" t="s">
        <v>67</v>
      </c>
      <c r="P109">
        <v>2018</v>
      </c>
      <c r="Q109">
        <v>0.15029999999999999</v>
      </c>
      <c r="R109" s="10"/>
      <c r="S109">
        <f>ROUND(ТабCЕС[[#This Row],[Зелений Тариф ЕЦ]]+ТабCЕС[[#This Row],[Зелений Тариф ЕЦ]]*ТабCЕС[[#This Row],[% надбавки]],4)</f>
        <v>0.15029999999999999</v>
      </c>
      <c r="T109" s="8"/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0.14899999999999999</v>
      </c>
      <c r="AL109">
        <v>0.215</v>
      </c>
      <c r="AM109">
        <v>0.19700000000000001</v>
      </c>
      <c r="AN109">
        <v>0.22</v>
      </c>
      <c r="AO109">
        <v>0.13100000000000001</v>
      </c>
      <c r="AP109">
        <v>0.13300000000000001</v>
      </c>
      <c r="AQ109">
        <v>5.1999999999999998E-2</v>
      </c>
      <c r="AR109">
        <v>1.2E-2</v>
      </c>
      <c r="AS109">
        <v>2.5000000000000001E-2</v>
      </c>
      <c r="AT109">
        <v>5.6000000000000001E-2</v>
      </c>
      <c r="AU109">
        <v>0.13400000000000001</v>
      </c>
      <c r="AV109">
        <v>0.182</v>
      </c>
      <c r="AW109">
        <v>0.188</v>
      </c>
      <c r="AX109">
        <v>0.21299999999999999</v>
      </c>
      <c r="AY109">
        <v>0.215</v>
      </c>
      <c r="AZ109">
        <v>0.193</v>
      </c>
    </row>
    <row r="110" spans="2:52">
      <c r="C110" t="s">
        <v>58</v>
      </c>
      <c r="D110" t="s">
        <v>384</v>
      </c>
      <c r="F110" s="1" t="s">
        <v>682</v>
      </c>
      <c r="G110" s="1" t="s">
        <v>687</v>
      </c>
      <c r="H110" t="s">
        <v>122</v>
      </c>
      <c r="I110" t="s">
        <v>648</v>
      </c>
      <c r="K110" t="s">
        <v>684</v>
      </c>
      <c r="L110" s="7">
        <v>3.2080000000000002</v>
      </c>
      <c r="M110" s="8">
        <v>43371</v>
      </c>
      <c r="N110">
        <v>9</v>
      </c>
      <c r="O110" t="s">
        <v>60</v>
      </c>
      <c r="P110">
        <v>2018</v>
      </c>
      <c r="Q110">
        <v>0.15029999999999999</v>
      </c>
      <c r="R110" s="10"/>
      <c r="S110">
        <f>ROUND(ТабCЕС[[#This Row],[Зелений Тариф ЕЦ]]+ТабCЕС[[#This Row],[Зелений Тариф ЕЦ]]*ТабCЕС[[#This Row],[% надбавки]],4)</f>
        <v>0.15029999999999999</v>
      </c>
      <c r="T110" s="8"/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2:52">
      <c r="C111" t="s">
        <v>58</v>
      </c>
      <c r="D111" t="s">
        <v>384</v>
      </c>
      <c r="F111" s="1" t="s">
        <v>682</v>
      </c>
      <c r="G111" s="1" t="s">
        <v>688</v>
      </c>
      <c r="H111" t="s">
        <v>122</v>
      </c>
      <c r="I111" t="s">
        <v>648</v>
      </c>
      <c r="K111" t="s">
        <v>689</v>
      </c>
      <c r="L111" s="7">
        <v>2.0249999999999999</v>
      </c>
      <c r="M111" s="8">
        <v>43697</v>
      </c>
      <c r="N111">
        <v>8</v>
      </c>
      <c r="O111" t="s">
        <v>60</v>
      </c>
      <c r="P111">
        <v>2019</v>
      </c>
      <c r="Q111">
        <v>0.15029999999999999</v>
      </c>
      <c r="R111" s="10"/>
      <c r="S111">
        <f>ROUND(ТабCЕС[[#This Row],[Зелений Тариф ЕЦ]]+ТабCЕС[[#This Row],[Зелений Тариф ЕЦ]]*ТабCЕС[[#This Row],[% надбавки]],4)</f>
        <v>0.15029999999999999</v>
      </c>
      <c r="T111" s="8"/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2:52">
      <c r="B112" t="s">
        <v>690</v>
      </c>
      <c r="C112">
        <v>38135211</v>
      </c>
      <c r="D112" t="s">
        <v>384</v>
      </c>
      <c r="F112" s="1" t="s">
        <v>691</v>
      </c>
      <c r="G112" s="1" t="s">
        <v>384</v>
      </c>
      <c r="H112" t="s">
        <v>198</v>
      </c>
      <c r="I112" t="s">
        <v>516</v>
      </c>
      <c r="K112" t="s">
        <v>692</v>
      </c>
      <c r="L112" s="7">
        <v>1</v>
      </c>
      <c r="M112" s="8">
        <v>41270</v>
      </c>
      <c r="N112">
        <v>12</v>
      </c>
      <c r="O112" t="s">
        <v>71</v>
      </c>
      <c r="P112">
        <v>2012</v>
      </c>
      <c r="Q112">
        <v>0.46529999999999999</v>
      </c>
      <c r="R112" s="10"/>
      <c r="S112">
        <f>ROUND(ТабCЕС[[#This Row],[Зелений Тариф ЕЦ]]+ТабCЕС[[#This Row],[Зелений Тариф ЕЦ]]*ТабCЕС[[#This Row],[% надбавки]],4)</f>
        <v>0.46529999999999999</v>
      </c>
      <c r="T112" s="8"/>
      <c r="U112">
        <v>3.7999999999999999E-2</v>
      </c>
      <c r="V112">
        <v>5.2999999999999999E-2</v>
      </c>
      <c r="W112">
        <v>0.10800000000000001</v>
      </c>
      <c r="X112">
        <v>0.14400000000000002</v>
      </c>
      <c r="Y112">
        <v>0.15899999999999997</v>
      </c>
      <c r="Z112">
        <v>0.17000000000000004</v>
      </c>
      <c r="AA112">
        <v>0.15699999999999992</v>
      </c>
      <c r="AB112">
        <v>0.15700000000000003</v>
      </c>
      <c r="AC112">
        <v>0.1160000000000001</v>
      </c>
      <c r="AD112">
        <v>6.999999999999984E-2</v>
      </c>
      <c r="AE112">
        <v>2.6000000000000023E-2</v>
      </c>
      <c r="AF112">
        <v>1.8000000000000016E-2</v>
      </c>
      <c r="AG112">
        <v>3.7999999999999999E-2</v>
      </c>
      <c r="AH112">
        <v>4.5999999999999999E-2</v>
      </c>
      <c r="AI112">
        <v>9.0999999999999998E-2</v>
      </c>
      <c r="AJ112">
        <v>0.16400000000000001</v>
      </c>
      <c r="AK112">
        <v>0.17100000000000001</v>
      </c>
      <c r="AL112">
        <v>0.14199999999999999</v>
      </c>
      <c r="AM112">
        <v>0.15</v>
      </c>
      <c r="AN112">
        <v>0.16700000000000001</v>
      </c>
      <c r="AO112">
        <v>0.11600000000000001</v>
      </c>
      <c r="AP112">
        <v>0.109</v>
      </c>
      <c r="AQ112">
        <v>2.5999999999999999E-2</v>
      </c>
      <c r="AR112">
        <v>1.2999999999999999E-2</v>
      </c>
      <c r="AS112">
        <v>1.4999999999999999E-2</v>
      </c>
      <c r="AT112">
        <v>4.7E-2</v>
      </c>
      <c r="AU112">
        <v>0.105</v>
      </c>
      <c r="AV112">
        <v>0.13400000000000001</v>
      </c>
      <c r="AW112">
        <v>0.127</v>
      </c>
      <c r="AX112">
        <v>0.14899999999999999</v>
      </c>
      <c r="AY112">
        <v>0.154</v>
      </c>
      <c r="AZ112">
        <v>0.157</v>
      </c>
    </row>
    <row r="113" spans="2:52">
      <c r="C113" t="s">
        <v>58</v>
      </c>
      <c r="D113" t="s">
        <v>384</v>
      </c>
      <c r="F113" s="1" t="s">
        <v>693</v>
      </c>
      <c r="G113" s="1" t="s">
        <v>408</v>
      </c>
      <c r="H113" t="s">
        <v>233</v>
      </c>
      <c r="I113" t="s">
        <v>289</v>
      </c>
      <c r="K113" t="s">
        <v>694</v>
      </c>
      <c r="L113" s="7">
        <v>1.4850000000000001</v>
      </c>
      <c r="M113" s="8">
        <v>43111</v>
      </c>
      <c r="N113">
        <v>1</v>
      </c>
      <c r="O113" t="s">
        <v>67</v>
      </c>
      <c r="P113">
        <v>2018</v>
      </c>
      <c r="Q113">
        <v>0.15029999999999999</v>
      </c>
      <c r="R113" s="10"/>
      <c r="S113">
        <f>ROUND(ТабCЕС[[#This Row],[Зелений Тариф ЕЦ]]+ТабCЕС[[#This Row],[Зелений Тариф ЕЦ]]*ТабCЕС[[#This Row],[% надбавки]],4)</f>
        <v>0.15029999999999999</v>
      </c>
      <c r="T113" s="8"/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9.2999999999999999E-2</v>
      </c>
      <c r="AJ113">
        <v>0.19900000000000001</v>
      </c>
      <c r="AK113">
        <v>0.24299999999999999</v>
      </c>
      <c r="AL113">
        <v>0.216</v>
      </c>
      <c r="AM113">
        <v>0.82499999999999996</v>
      </c>
      <c r="AN113">
        <v>0.81499999999999995</v>
      </c>
      <c r="AO113">
        <v>0.83699999999999997</v>
      </c>
      <c r="AP113">
        <v>0.69099999999999995</v>
      </c>
      <c r="AQ113">
        <v>0.377</v>
      </c>
      <c r="AR113">
        <v>9.5000000000000001E-2</v>
      </c>
      <c r="AS113">
        <v>0.17199999999999999</v>
      </c>
      <c r="AT113">
        <v>0.55700000000000005</v>
      </c>
      <c r="AU113">
        <v>1.294</v>
      </c>
      <c r="AV113">
        <v>1.4370000000000001</v>
      </c>
      <c r="AW113">
        <v>3.36</v>
      </c>
      <c r="AX113">
        <v>4.4870000000000001</v>
      </c>
      <c r="AY113">
        <v>4.133</v>
      </c>
      <c r="AZ113">
        <v>4.2430000000000003</v>
      </c>
    </row>
    <row r="114" spans="2:52">
      <c r="C114" t="s">
        <v>58</v>
      </c>
      <c r="D114" t="s">
        <v>384</v>
      </c>
      <c r="F114" s="1" t="s">
        <v>693</v>
      </c>
      <c r="G114" s="1" t="s">
        <v>410</v>
      </c>
      <c r="H114" t="s">
        <v>233</v>
      </c>
      <c r="I114" t="s">
        <v>289</v>
      </c>
      <c r="K114" t="s">
        <v>695</v>
      </c>
      <c r="L114" s="7">
        <v>5.907</v>
      </c>
      <c r="M114" s="8">
        <v>43277</v>
      </c>
      <c r="N114">
        <v>6</v>
      </c>
      <c r="O114" t="s">
        <v>57</v>
      </c>
      <c r="P114">
        <v>2018</v>
      </c>
      <c r="Q114">
        <v>0.15029999999999999</v>
      </c>
      <c r="R114" s="10"/>
      <c r="S114">
        <f>ROUND(ТабCЕС[[#This Row],[Зелений Тариф ЕЦ]]+ТабCЕС[[#This Row],[Зелений Тариф ЕЦ]]*ТабCЕС[[#This Row],[% надбавки]],4)</f>
        <v>0.15029999999999999</v>
      </c>
      <c r="T114" s="8"/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2:52">
      <c r="C115" t="s">
        <v>58</v>
      </c>
      <c r="D115" t="s">
        <v>384</v>
      </c>
      <c r="F115" s="1" t="s">
        <v>693</v>
      </c>
      <c r="G115" s="1" t="s">
        <v>384</v>
      </c>
      <c r="H115" t="s">
        <v>233</v>
      </c>
      <c r="I115" t="s">
        <v>289</v>
      </c>
      <c r="K115" t="s">
        <v>694</v>
      </c>
      <c r="L115" s="7">
        <v>3.3260000000000001</v>
      </c>
      <c r="M115" s="8">
        <v>43508</v>
      </c>
      <c r="N115">
        <v>2</v>
      </c>
      <c r="O115" t="s">
        <v>67</v>
      </c>
      <c r="P115">
        <v>2019</v>
      </c>
      <c r="Q115">
        <v>0.15029999999999999</v>
      </c>
      <c r="R115" s="10"/>
      <c r="S115">
        <f>ROUND(ТабCЕС[[#This Row],[Зелений Тариф ЕЦ]]+ТабCЕС[[#This Row],[Зелений Тариф ЕЦ]]*ТабCЕС[[#This Row],[% надбавки]],4)</f>
        <v>0.15029999999999999</v>
      </c>
      <c r="T115" s="8"/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2:52">
      <c r="C116" t="s">
        <v>58</v>
      </c>
      <c r="D116" t="s">
        <v>384</v>
      </c>
      <c r="F116" s="1" t="s">
        <v>693</v>
      </c>
      <c r="G116" s="1" t="s">
        <v>384</v>
      </c>
      <c r="H116" t="s">
        <v>198</v>
      </c>
      <c r="I116" t="s">
        <v>696</v>
      </c>
      <c r="K116" t="s">
        <v>697</v>
      </c>
      <c r="L116" s="7">
        <v>16.863</v>
      </c>
      <c r="M116" s="8">
        <v>43564</v>
      </c>
      <c r="N116">
        <v>4</v>
      </c>
      <c r="O116" t="s">
        <v>57</v>
      </c>
      <c r="P116">
        <v>2019</v>
      </c>
      <c r="Q116">
        <v>0.15029999999999999</v>
      </c>
      <c r="R116" s="10"/>
      <c r="S116">
        <f>ROUND(ТабCЕС[[#This Row],[Зелений Тариф ЕЦ]]+ТабCЕС[[#This Row],[Зелений Тариф ЕЦ]]*ТабCЕС[[#This Row],[% надбавки]],4)</f>
        <v>0.15029999999999999</v>
      </c>
      <c r="T116" s="8"/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2:52">
      <c r="B117" t="s">
        <v>698</v>
      </c>
      <c r="C117">
        <v>38178295</v>
      </c>
      <c r="D117" t="s">
        <v>384</v>
      </c>
      <c r="F117" s="1" t="s">
        <v>699</v>
      </c>
      <c r="G117" s="1" t="s">
        <v>408</v>
      </c>
      <c r="H117" t="s">
        <v>172</v>
      </c>
      <c r="I117" t="s">
        <v>700</v>
      </c>
      <c r="K117" t="s">
        <v>701</v>
      </c>
      <c r="L117" s="7">
        <v>4.8970000000000002</v>
      </c>
      <c r="M117" s="8">
        <v>42780</v>
      </c>
      <c r="N117">
        <v>2</v>
      </c>
      <c r="O117" t="s">
        <v>67</v>
      </c>
      <c r="P117">
        <v>2017</v>
      </c>
      <c r="Q117">
        <v>0.15989999999999999</v>
      </c>
      <c r="R117" s="10"/>
      <c r="S117">
        <f>ROUND(ТабCЕС[[#This Row],[Зелений Тариф ЕЦ]]+ТабCЕС[[#This Row],[Зелений Тариф ЕЦ]]*ТабCЕС[[#This Row],[% надбавки]],4)</f>
        <v>0.15989999999999999</v>
      </c>
      <c r="T117" s="8"/>
      <c r="U117">
        <v>0</v>
      </c>
      <c r="V117">
        <v>0</v>
      </c>
      <c r="W117">
        <v>0</v>
      </c>
      <c r="X117">
        <v>0</v>
      </c>
      <c r="Y117">
        <v>0.76100000000000001</v>
      </c>
      <c r="Z117">
        <v>0.81900000000000006</v>
      </c>
      <c r="AA117">
        <v>0.79899999999999993</v>
      </c>
      <c r="AB117">
        <v>0.73499999999999988</v>
      </c>
      <c r="AC117">
        <v>0.52899999999999991</v>
      </c>
      <c r="AD117">
        <v>0.34300000000000042</v>
      </c>
      <c r="AE117">
        <v>0.11199999999999966</v>
      </c>
      <c r="AF117">
        <v>7.6000000000000512E-2</v>
      </c>
      <c r="AG117">
        <v>0.13700000000000001</v>
      </c>
      <c r="AH117">
        <v>0.161</v>
      </c>
      <c r="AI117">
        <v>0.35699999999999998</v>
      </c>
      <c r="AJ117">
        <v>0.746</v>
      </c>
      <c r="AK117">
        <v>0.81899999999999995</v>
      </c>
      <c r="AL117">
        <v>0.69599999999999995</v>
      </c>
      <c r="AM117">
        <v>0.70499999999999996</v>
      </c>
      <c r="AN117">
        <v>0.78900000000000003</v>
      </c>
      <c r="AO117">
        <v>0.52</v>
      </c>
      <c r="AP117">
        <v>0.441</v>
      </c>
      <c r="AQ117">
        <v>0.111</v>
      </c>
      <c r="AR117">
        <v>4.4999999999999998E-2</v>
      </c>
      <c r="AS117">
        <v>3.5999999999999997E-2</v>
      </c>
      <c r="AT117">
        <v>0.253</v>
      </c>
      <c r="AU117">
        <v>0.46400000000000002</v>
      </c>
      <c r="AV117">
        <v>0.64500000000000002</v>
      </c>
      <c r="AW117">
        <v>0.64300000000000002</v>
      </c>
      <c r="AX117">
        <v>0.873</v>
      </c>
      <c r="AY117">
        <v>0.78</v>
      </c>
      <c r="AZ117">
        <v>0.76700000000000002</v>
      </c>
    </row>
    <row r="118" spans="2:52">
      <c r="B118" t="s">
        <v>702</v>
      </c>
      <c r="C118">
        <v>38178295</v>
      </c>
      <c r="D118" t="s">
        <v>384</v>
      </c>
      <c r="F118" s="1" t="s">
        <v>699</v>
      </c>
      <c r="G118" s="1" t="s">
        <v>384</v>
      </c>
      <c r="H118" t="s">
        <v>172</v>
      </c>
      <c r="I118" t="s">
        <v>700</v>
      </c>
      <c r="K118" t="s">
        <v>703</v>
      </c>
      <c r="L118" s="7">
        <v>5.0030000000000001</v>
      </c>
      <c r="M118" s="8">
        <v>43111</v>
      </c>
      <c r="N118">
        <v>1</v>
      </c>
      <c r="O118" t="s">
        <v>67</v>
      </c>
      <c r="P118">
        <v>2018</v>
      </c>
      <c r="Q118">
        <v>0.15029999999999999</v>
      </c>
      <c r="R118" s="10"/>
      <c r="S118">
        <f>ROUND(ТабCЕС[[#This Row],[Зелений Тариф ЕЦ]]+ТабCЕС[[#This Row],[Зелений Тариф ЕЦ]]*ТабCЕС[[#This Row],[% надбавки]],4)</f>
        <v>0.15029999999999999</v>
      </c>
      <c r="T118" s="8"/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0.157</v>
      </c>
      <c r="AH118">
        <v>0.185</v>
      </c>
      <c r="AI118">
        <v>0.42</v>
      </c>
      <c r="AJ118">
        <v>0.78800000000000003</v>
      </c>
      <c r="AK118">
        <v>0.85</v>
      </c>
      <c r="AL118">
        <v>0.71499999999999997</v>
      </c>
      <c r="AM118">
        <v>0.72599999999999998</v>
      </c>
      <c r="AN118">
        <v>0.81699999999999995</v>
      </c>
      <c r="AO118">
        <v>0.54800000000000004</v>
      </c>
      <c r="AP118">
        <v>0.47699999999999998</v>
      </c>
      <c r="AQ118">
        <v>0.126</v>
      </c>
      <c r="AR118">
        <v>5.0999999999999997E-2</v>
      </c>
      <c r="AS118">
        <v>6.2E-2</v>
      </c>
      <c r="AT118">
        <v>0.28699999999999998</v>
      </c>
      <c r="AU118">
        <v>0.49099999999999999</v>
      </c>
      <c r="AV118">
        <v>0.68100000000000005</v>
      </c>
      <c r="AW118">
        <v>0.66100000000000003</v>
      </c>
      <c r="AX118">
        <v>0.88900000000000001</v>
      </c>
      <c r="AY118">
        <v>0.79900000000000004</v>
      </c>
      <c r="AZ118">
        <v>0.79300000000000004</v>
      </c>
    </row>
    <row r="119" spans="2:52">
      <c r="B119" t="s">
        <v>704</v>
      </c>
      <c r="C119">
        <v>38178295</v>
      </c>
      <c r="D119" t="s">
        <v>384</v>
      </c>
      <c r="F119" s="1" t="s">
        <v>699</v>
      </c>
      <c r="G119" s="1" t="s">
        <v>705</v>
      </c>
      <c r="H119" t="s">
        <v>172</v>
      </c>
      <c r="I119" t="s">
        <v>700</v>
      </c>
      <c r="K119" t="s">
        <v>706</v>
      </c>
      <c r="L119" s="7">
        <v>4.657</v>
      </c>
      <c r="M119" s="8">
        <v>43277</v>
      </c>
      <c r="N119">
        <v>6</v>
      </c>
      <c r="O119" t="s">
        <v>57</v>
      </c>
      <c r="P119">
        <v>2018</v>
      </c>
      <c r="Q119">
        <v>0.15029999999999999</v>
      </c>
      <c r="R119" s="10"/>
      <c r="S119">
        <f>ROUND(ТабCЕС[[#This Row],[Зелений Тариф ЕЦ]]+ТабCЕС[[#This Row],[Зелений Тариф ЕЦ]]*ТабCЕС[[#This Row],[% надбавки]],4)</f>
        <v>0.15029999999999999</v>
      </c>
      <c r="T119" s="8"/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5.8000000000000003E-2</v>
      </c>
      <c r="AM119">
        <v>0.67800000000000005</v>
      </c>
      <c r="AN119">
        <v>0.76500000000000001</v>
      </c>
      <c r="AO119">
        <v>0.52700000000000002</v>
      </c>
      <c r="AP119">
        <v>0.45500000000000002</v>
      </c>
      <c r="AQ119">
        <v>0.114</v>
      </c>
      <c r="AR119">
        <v>5.0999999999999997E-2</v>
      </c>
      <c r="AS119">
        <v>6.5000000000000002E-2</v>
      </c>
      <c r="AT119">
        <v>0.24399999999999999</v>
      </c>
      <c r="AU119">
        <v>0.45400000000000001</v>
      </c>
      <c r="AV119">
        <v>0.61299999999999999</v>
      </c>
      <c r="AW119">
        <v>0.61199999999999999</v>
      </c>
      <c r="AX119">
        <v>0.82</v>
      </c>
      <c r="AY119">
        <v>0.751</v>
      </c>
      <c r="AZ119">
        <v>0.72899999999999998</v>
      </c>
    </row>
    <row r="120" spans="2:52">
      <c r="B120" t="s">
        <v>707</v>
      </c>
      <c r="C120">
        <v>38178211</v>
      </c>
      <c r="D120" t="s">
        <v>384</v>
      </c>
      <c r="F120" s="1" t="s">
        <v>708</v>
      </c>
      <c r="G120" s="1" t="s">
        <v>408</v>
      </c>
      <c r="H120" t="s">
        <v>172</v>
      </c>
      <c r="I120" t="s">
        <v>700</v>
      </c>
      <c r="J120" t="s">
        <v>709</v>
      </c>
      <c r="K120" t="s">
        <v>710</v>
      </c>
      <c r="L120" s="7">
        <v>0.55900000000000005</v>
      </c>
      <c r="M120" s="8">
        <v>42831</v>
      </c>
      <c r="N120">
        <v>4</v>
      </c>
      <c r="O120" t="s">
        <v>57</v>
      </c>
      <c r="P120">
        <v>2017</v>
      </c>
      <c r="Q120">
        <v>0.15029999999999999</v>
      </c>
      <c r="R120" s="10"/>
      <c r="S120">
        <f>ROUND(ТабCЕС[[#This Row],[Зелений Тариф ЕЦ]]+ТабCЕС[[#This Row],[Зелений Тариф ЕЦ]]*ТабCЕС[[#This Row],[% надбавки]],4)</f>
        <v>0.15029999999999999</v>
      </c>
      <c r="T120" s="8"/>
      <c r="U120">
        <v>0</v>
      </c>
      <c r="V120">
        <v>0</v>
      </c>
      <c r="W120">
        <v>0</v>
      </c>
      <c r="X120">
        <v>5.8999999999999997E-2</v>
      </c>
      <c r="Y120">
        <v>0.09</v>
      </c>
      <c r="Z120">
        <v>9.6000000000000002E-2</v>
      </c>
      <c r="AA120">
        <v>9.4000000000000028E-2</v>
      </c>
      <c r="AB120">
        <v>8.5999999999999965E-2</v>
      </c>
      <c r="AC120">
        <v>5.8999999999999997E-2</v>
      </c>
      <c r="AD120">
        <v>3.9000000000000035E-2</v>
      </c>
      <c r="AE120">
        <v>1.3000000000000012E-2</v>
      </c>
      <c r="AF120">
        <v>9.000000000000008E-3</v>
      </c>
      <c r="AG120">
        <v>1.6E-2</v>
      </c>
      <c r="AH120">
        <v>2.1999999999999999E-2</v>
      </c>
      <c r="AI120">
        <v>4.8000000000000001E-2</v>
      </c>
      <c r="AJ120">
        <v>0.17699999999999999</v>
      </c>
      <c r="AK120">
        <v>0.193</v>
      </c>
      <c r="AL120">
        <v>0.151</v>
      </c>
      <c r="AM120">
        <v>0.16900000000000001</v>
      </c>
      <c r="AN120">
        <v>0.183</v>
      </c>
      <c r="AO120">
        <v>0.124</v>
      </c>
      <c r="AP120">
        <v>0.112</v>
      </c>
      <c r="AQ120">
        <v>2.5000000000000001E-2</v>
      </c>
      <c r="AR120">
        <v>1.0999999999999999E-2</v>
      </c>
      <c r="AS120">
        <v>1.2E-2</v>
      </c>
      <c r="AT120">
        <v>5.5E-2</v>
      </c>
      <c r="AU120">
        <v>0.14399999999999999</v>
      </c>
      <c r="AV120">
        <v>0.20300000000000001</v>
      </c>
      <c r="AW120">
        <v>0.192</v>
      </c>
      <c r="AX120">
        <v>0.26700000000000002</v>
      </c>
      <c r="AY120">
        <v>0.245</v>
      </c>
      <c r="AZ120">
        <v>0.24099999999999999</v>
      </c>
    </row>
    <row r="121" spans="2:52">
      <c r="B121" t="s">
        <v>707</v>
      </c>
      <c r="C121">
        <v>38178211</v>
      </c>
      <c r="D121" t="s">
        <v>384</v>
      </c>
      <c r="F121" s="1" t="s">
        <v>708</v>
      </c>
      <c r="G121" s="1" t="s">
        <v>711</v>
      </c>
      <c r="H121" t="s">
        <v>172</v>
      </c>
      <c r="I121" t="s">
        <v>700</v>
      </c>
      <c r="J121" t="s">
        <v>709</v>
      </c>
      <c r="K121" t="s">
        <v>710</v>
      </c>
      <c r="L121" s="7">
        <v>0.56000000000000005</v>
      </c>
      <c r="M121" s="8">
        <v>43182</v>
      </c>
      <c r="N121">
        <v>3</v>
      </c>
      <c r="O121" t="s">
        <v>67</v>
      </c>
      <c r="P121">
        <v>2018</v>
      </c>
      <c r="Q121">
        <v>0.15029999999999999</v>
      </c>
      <c r="R121" s="10"/>
      <c r="S121">
        <f>ROUND(ТабCЕС[[#This Row],[Зелений Тариф ЕЦ]]+ТабCЕС[[#This Row],[Зелений Тариф ЕЦ]]*ТабCЕС[[#This Row],[% надбавки]],4)</f>
        <v>0.15029999999999999</v>
      </c>
      <c r="T121" s="8"/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2:52">
      <c r="B122" t="s">
        <v>707</v>
      </c>
      <c r="C122">
        <v>38178211</v>
      </c>
      <c r="D122" t="s">
        <v>384</v>
      </c>
      <c r="F122" s="1" t="s">
        <v>708</v>
      </c>
      <c r="G122" s="1" t="s">
        <v>712</v>
      </c>
      <c r="H122" t="s">
        <v>172</v>
      </c>
      <c r="I122" t="s">
        <v>700</v>
      </c>
      <c r="J122" t="s">
        <v>709</v>
      </c>
      <c r="K122" t="s">
        <v>710</v>
      </c>
      <c r="L122" s="7">
        <v>0.39300000000000002</v>
      </c>
      <c r="M122" s="8">
        <v>43494</v>
      </c>
      <c r="N122">
        <v>1</v>
      </c>
      <c r="O122" t="s">
        <v>67</v>
      </c>
      <c r="P122">
        <v>2019</v>
      </c>
      <c r="Q122">
        <v>0.15029999999999999</v>
      </c>
      <c r="R122" s="10"/>
      <c r="S122">
        <f>ROUND(ТабCЕС[[#This Row],[Зелений Тариф ЕЦ]]+ТабCЕС[[#This Row],[Зелений Тариф ЕЦ]]*ТабCЕС[[#This Row],[% надбавки]],4)</f>
        <v>0.15029999999999999</v>
      </c>
      <c r="T122" s="8"/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2:52">
      <c r="C123" t="s">
        <v>58</v>
      </c>
      <c r="D123" t="s">
        <v>384</v>
      </c>
      <c r="F123" s="1" t="s">
        <v>713</v>
      </c>
      <c r="G123" s="1" t="s">
        <v>384</v>
      </c>
      <c r="H123" t="s">
        <v>122</v>
      </c>
      <c r="K123" t="s">
        <v>714</v>
      </c>
      <c r="L123" s="7">
        <v>10.497999999999999</v>
      </c>
      <c r="M123" s="8">
        <v>43111</v>
      </c>
      <c r="N123">
        <v>1</v>
      </c>
      <c r="O123" t="s">
        <v>67</v>
      </c>
      <c r="P123">
        <v>2018</v>
      </c>
      <c r="Q123">
        <v>0.15029999999999999</v>
      </c>
      <c r="R123" s="10"/>
      <c r="S123">
        <f>ROUND(ТабCЕС[[#This Row],[Зелений Тариф ЕЦ]]+ТабCЕС[[#This Row],[Зелений Тариф ЕЦ]]*ТабCЕС[[#This Row],[% надбавки]],4)</f>
        <v>0.15029999999999999</v>
      </c>
      <c r="T123" s="8"/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0.36399999999999999</v>
      </c>
      <c r="AI123">
        <v>0.79600000000000004</v>
      </c>
      <c r="AJ123">
        <v>1.5629999999999999</v>
      </c>
      <c r="AK123">
        <v>1.7689999999999999</v>
      </c>
      <c r="AL123">
        <v>1.726</v>
      </c>
      <c r="AM123">
        <v>1.5660000000000001</v>
      </c>
      <c r="AN123">
        <v>1.7250000000000001</v>
      </c>
      <c r="AO123">
        <v>1.0740000000000001</v>
      </c>
      <c r="AP123">
        <v>1.048</v>
      </c>
      <c r="AQ123">
        <v>0.39600000000000002</v>
      </c>
      <c r="AR123">
        <v>0.129</v>
      </c>
      <c r="AS123">
        <v>0.20799999999999999</v>
      </c>
      <c r="AT123">
        <v>0.46</v>
      </c>
      <c r="AU123">
        <v>1.0329999999999999</v>
      </c>
      <c r="AV123">
        <v>1.327</v>
      </c>
      <c r="AW123">
        <v>1.3540000000000001</v>
      </c>
      <c r="AX123">
        <v>1.5329999999999999</v>
      </c>
      <c r="AY123">
        <v>1.621</v>
      </c>
      <c r="AZ123">
        <v>1.4730000000000001</v>
      </c>
    </row>
    <row r="124" spans="2:52">
      <c r="B124" t="s">
        <v>715</v>
      </c>
      <c r="C124">
        <v>38072380</v>
      </c>
      <c r="D124" t="s">
        <v>384</v>
      </c>
      <c r="F124" s="1" t="s">
        <v>716</v>
      </c>
      <c r="G124" s="1" t="s">
        <v>384</v>
      </c>
      <c r="H124" t="s">
        <v>172</v>
      </c>
      <c r="I124" t="s">
        <v>717</v>
      </c>
      <c r="K124" t="s">
        <v>718</v>
      </c>
      <c r="L124" s="7">
        <v>4.9029999999999996</v>
      </c>
      <c r="M124" s="8">
        <v>42404</v>
      </c>
      <c r="N124">
        <v>2</v>
      </c>
      <c r="O124" t="s">
        <v>67</v>
      </c>
      <c r="P124">
        <v>2016</v>
      </c>
      <c r="Q124">
        <v>0.1696</v>
      </c>
      <c r="R124" s="10"/>
      <c r="S124">
        <f>ROUND(ТабCЕС[[#This Row],[Зелений Тариф ЕЦ]]+ТабCЕС[[#This Row],[Зелений Тариф ЕЦ]]*ТабCЕС[[#This Row],[% надбавки]],4)</f>
        <v>0.1696</v>
      </c>
      <c r="T124" s="8"/>
      <c r="U124">
        <v>0.17100000000000001</v>
      </c>
      <c r="V124">
        <v>0.28900000000000003</v>
      </c>
      <c r="W124">
        <v>0.49999999999999994</v>
      </c>
      <c r="X124">
        <v>0.69900000000000007</v>
      </c>
      <c r="Y124">
        <v>0.78599999999999981</v>
      </c>
      <c r="Z124">
        <v>0.73399999999999999</v>
      </c>
      <c r="AA124">
        <v>0.75</v>
      </c>
      <c r="AB124">
        <v>0.75200000000000022</v>
      </c>
      <c r="AC124">
        <v>0.54199999999999982</v>
      </c>
      <c r="AD124">
        <v>0.36300000000000043</v>
      </c>
      <c r="AE124">
        <v>0.12699999999999978</v>
      </c>
      <c r="AF124">
        <v>8.4999999999999964E-2</v>
      </c>
      <c r="AG124">
        <v>0.189</v>
      </c>
      <c r="AH124">
        <v>0.23</v>
      </c>
      <c r="AI124">
        <v>0.47399999999999998</v>
      </c>
      <c r="AJ124">
        <v>0.77400000000000002</v>
      </c>
      <c r="AK124">
        <v>0.83899999999999997</v>
      </c>
      <c r="AL124">
        <v>0.69099999999999995</v>
      </c>
      <c r="AM124">
        <v>0.70599999999999996</v>
      </c>
      <c r="AN124">
        <v>0.84699999999999998</v>
      </c>
      <c r="AO124">
        <v>0.57599999999999996</v>
      </c>
      <c r="AP124">
        <v>0.55700000000000005</v>
      </c>
      <c r="AQ124">
        <v>0.13200000000000001</v>
      </c>
      <c r="AR124">
        <v>0.06</v>
      </c>
      <c r="AS124">
        <v>9.2999999999999999E-2</v>
      </c>
      <c r="AT124">
        <v>0.27200000000000002</v>
      </c>
      <c r="AU124">
        <v>0.502</v>
      </c>
      <c r="AV124">
        <v>0.66300000000000003</v>
      </c>
      <c r="AW124">
        <v>0.64800000000000002</v>
      </c>
      <c r="AX124">
        <v>0.83599999999999997</v>
      </c>
      <c r="AY124">
        <v>0.76300000000000001</v>
      </c>
      <c r="AZ124">
        <v>0.79200000000000004</v>
      </c>
    </row>
    <row r="125" spans="2:52">
      <c r="C125" t="s">
        <v>58</v>
      </c>
      <c r="D125" t="s">
        <v>384</v>
      </c>
      <c r="F125" s="1" t="s">
        <v>719</v>
      </c>
      <c r="G125" s="1" t="s">
        <v>384</v>
      </c>
      <c r="H125" t="s">
        <v>163</v>
      </c>
      <c r="I125" t="s">
        <v>720</v>
      </c>
      <c r="K125" t="s">
        <v>721</v>
      </c>
      <c r="L125" s="7">
        <v>0.52200000000000002</v>
      </c>
      <c r="M125" s="8">
        <v>43508</v>
      </c>
      <c r="N125">
        <v>2</v>
      </c>
      <c r="O125" t="s">
        <v>67</v>
      </c>
      <c r="P125">
        <v>2019</v>
      </c>
      <c r="Q125">
        <v>0.16370000000000001</v>
      </c>
      <c r="R125" s="10"/>
      <c r="S125">
        <f>ROUND(ТабCЕС[[#This Row],[Зелений Тариф ЕЦ]]+ТабCЕС[[#This Row],[Зелений Тариф ЕЦ]]*ТабCЕС[[#This Row],[% надбавки]],4)</f>
        <v>0.16370000000000001</v>
      </c>
      <c r="T125" s="8"/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2:52">
      <c r="C126" t="s">
        <v>58</v>
      </c>
      <c r="D126" t="s">
        <v>384</v>
      </c>
      <c r="F126" s="1" t="s">
        <v>722</v>
      </c>
      <c r="G126" s="1" t="s">
        <v>384</v>
      </c>
      <c r="H126" t="s">
        <v>172</v>
      </c>
      <c r="I126" t="s">
        <v>723</v>
      </c>
      <c r="K126" t="s">
        <v>724</v>
      </c>
      <c r="L126" s="7">
        <v>3.4649999999999999</v>
      </c>
      <c r="M126" s="8">
        <v>43602</v>
      </c>
      <c r="N126">
        <v>5</v>
      </c>
      <c r="O126" t="s">
        <v>57</v>
      </c>
      <c r="P126">
        <v>2019</v>
      </c>
      <c r="Q126">
        <v>0.15029999999999999</v>
      </c>
      <c r="R126" s="10"/>
      <c r="S126">
        <f>ROUND(ТабCЕС[[#This Row],[Зелений Тариф ЕЦ]]+ТабCЕС[[#This Row],[Зелений Тариф ЕЦ]]*ТабCЕС[[#This Row],[% надбавки]],4)</f>
        <v>0.15029999999999999</v>
      </c>
      <c r="T126" s="8"/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0.48299999999999998</v>
      </c>
      <c r="AY126">
        <v>0.57999999999999996</v>
      </c>
      <c r="AZ126">
        <v>0.52400000000000002</v>
      </c>
    </row>
    <row r="127" spans="2:52">
      <c r="C127" t="s">
        <v>58</v>
      </c>
      <c r="D127" t="s">
        <v>384</v>
      </c>
      <c r="F127" s="1" t="s">
        <v>725</v>
      </c>
      <c r="G127" s="1" t="s">
        <v>726</v>
      </c>
      <c r="H127" t="s">
        <v>172</v>
      </c>
      <c r="I127" t="s">
        <v>723</v>
      </c>
      <c r="K127" t="s">
        <v>727</v>
      </c>
      <c r="L127" s="7">
        <v>1.0449999999999999</v>
      </c>
      <c r="M127" s="8">
        <v>43277</v>
      </c>
      <c r="N127">
        <v>6</v>
      </c>
      <c r="O127" t="s">
        <v>57</v>
      </c>
      <c r="P127">
        <v>2018</v>
      </c>
      <c r="Q127">
        <v>0.15029999999999999</v>
      </c>
      <c r="R127" s="10"/>
      <c r="S127">
        <f>ROUND(ТабCЕС[[#This Row],[Зелений Тариф ЕЦ]]+ТабCЕС[[#This Row],[Зелений Тариф ЕЦ]]*ТабCЕС[[#This Row],[% надбавки]],4)</f>
        <v>0.15029999999999999</v>
      </c>
      <c r="T127" s="8"/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0.16800000000000001</v>
      </c>
      <c r="AO127">
        <v>0.123</v>
      </c>
      <c r="AP127">
        <v>0.106</v>
      </c>
      <c r="AQ127">
        <v>2.8000000000000001E-2</v>
      </c>
      <c r="AR127">
        <v>1.6E-2</v>
      </c>
      <c r="AS127">
        <v>1.6E-2</v>
      </c>
      <c r="AT127">
        <v>0.11799999999999999</v>
      </c>
      <c r="AU127">
        <v>0.224</v>
      </c>
      <c r="AV127">
        <v>0.28100000000000003</v>
      </c>
      <c r="AW127">
        <v>0.27800000000000002</v>
      </c>
      <c r="AX127">
        <v>0.36199999999999999</v>
      </c>
      <c r="AY127">
        <v>0.34200000000000003</v>
      </c>
      <c r="AZ127">
        <v>0.32400000000000001</v>
      </c>
    </row>
    <row r="128" spans="2:52">
      <c r="C128" t="s">
        <v>58</v>
      </c>
      <c r="D128" t="s">
        <v>384</v>
      </c>
      <c r="F128" s="1" t="s">
        <v>725</v>
      </c>
      <c r="G128" s="1" t="s">
        <v>728</v>
      </c>
      <c r="H128" t="s">
        <v>172</v>
      </c>
      <c r="I128" t="s">
        <v>723</v>
      </c>
      <c r="K128" t="s">
        <v>727</v>
      </c>
      <c r="L128" s="7">
        <v>1.1319999999999999</v>
      </c>
      <c r="M128" s="8">
        <v>43490</v>
      </c>
      <c r="N128">
        <v>1</v>
      </c>
      <c r="O128" t="s">
        <v>67</v>
      </c>
      <c r="P128">
        <v>2019</v>
      </c>
      <c r="Q128">
        <v>0.15029999999999999</v>
      </c>
      <c r="R128" s="10"/>
      <c r="S128">
        <f>ROUND(ТабCЕС[[#This Row],[Зелений Тариф ЕЦ]]+ТабCЕС[[#This Row],[Зелений Тариф ЕЦ]]*ТабCЕС[[#This Row],[% надбавки]],4)</f>
        <v>0.15029999999999999</v>
      </c>
      <c r="T128" s="8"/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2:52">
      <c r="B129" t="s">
        <v>729</v>
      </c>
      <c r="C129">
        <v>38283134</v>
      </c>
      <c r="D129" t="s">
        <v>384</v>
      </c>
      <c r="F129" s="1" t="s">
        <v>730</v>
      </c>
      <c r="G129" s="1" t="s">
        <v>408</v>
      </c>
      <c r="H129" t="s">
        <v>172</v>
      </c>
      <c r="I129" t="s">
        <v>731</v>
      </c>
      <c r="K129" t="s">
        <v>732</v>
      </c>
      <c r="L129" s="7">
        <v>0.49399999999999999</v>
      </c>
      <c r="M129" s="8">
        <v>41508</v>
      </c>
      <c r="N129">
        <v>8</v>
      </c>
      <c r="O129" t="s">
        <v>60</v>
      </c>
      <c r="P129">
        <v>2013</v>
      </c>
      <c r="Q129">
        <v>0.46529999999999999</v>
      </c>
      <c r="R129" s="10"/>
      <c r="S129">
        <f>ROUND(ТабCЕС[[#This Row],[Зелений Тариф ЕЦ]]+ТабCЕС[[#This Row],[Зелений Тариф ЕЦ]]*ТабCЕС[[#This Row],[% надбавки]],4)</f>
        <v>0.46529999999999999</v>
      </c>
      <c r="T129" s="8"/>
      <c r="U129">
        <v>1.7000000000000001E-2</v>
      </c>
      <c r="V129">
        <v>2.7999999999999997E-2</v>
      </c>
      <c r="W129">
        <v>4.1999999999999996E-2</v>
      </c>
      <c r="X129">
        <v>6.5000000000000002E-2</v>
      </c>
      <c r="Y129">
        <v>7.400000000000001E-2</v>
      </c>
      <c r="Z129">
        <v>7.5999999999999984E-2</v>
      </c>
      <c r="AA129">
        <v>7.5000000000000011E-2</v>
      </c>
      <c r="AB129">
        <v>7.3000000000000009E-2</v>
      </c>
      <c r="AC129">
        <v>5.1999999999999991E-2</v>
      </c>
      <c r="AD129">
        <v>3.5000000000000031E-2</v>
      </c>
      <c r="AE129">
        <v>1.2000000000000011E-2</v>
      </c>
      <c r="AF129">
        <v>8.0000000000000071E-3</v>
      </c>
      <c r="AG129">
        <v>1.9E-2</v>
      </c>
      <c r="AH129">
        <v>3.1E-2</v>
      </c>
      <c r="AI129">
        <v>5.0999999999999997E-2</v>
      </c>
      <c r="AJ129">
        <v>7.4999999999999997E-2</v>
      </c>
      <c r="AK129">
        <v>0.08</v>
      </c>
      <c r="AL129">
        <v>6.7000000000000004E-2</v>
      </c>
      <c r="AM129">
        <v>6.6000000000000003E-2</v>
      </c>
      <c r="AN129">
        <v>7.8E-2</v>
      </c>
      <c r="AO129">
        <v>5.6000000000000001E-2</v>
      </c>
      <c r="AP129">
        <v>5.0999999999999997E-2</v>
      </c>
      <c r="AQ129">
        <v>1.6E-2</v>
      </c>
      <c r="AR129">
        <v>8.9999999999999993E-3</v>
      </c>
      <c r="AS129">
        <v>1.2E-2</v>
      </c>
      <c r="AT129">
        <v>2.9000000000000001E-2</v>
      </c>
      <c r="AU129">
        <v>4.7E-2</v>
      </c>
      <c r="AV129">
        <v>6.6000000000000003E-2</v>
      </c>
      <c r="AW129">
        <v>5.8000000000000003E-2</v>
      </c>
      <c r="AX129">
        <v>7.8E-2</v>
      </c>
      <c r="AY129">
        <v>7.5999999999999998E-2</v>
      </c>
      <c r="AZ129">
        <v>7.3999999999999996E-2</v>
      </c>
    </row>
    <row r="130" spans="2:52">
      <c r="B130" t="s">
        <v>733</v>
      </c>
      <c r="C130">
        <v>38283134</v>
      </c>
      <c r="D130" t="s">
        <v>384</v>
      </c>
      <c r="F130" s="1" t="s">
        <v>730</v>
      </c>
      <c r="G130" s="1" t="s">
        <v>410</v>
      </c>
      <c r="H130" t="s">
        <v>172</v>
      </c>
      <c r="I130" t="s">
        <v>731</v>
      </c>
      <c r="K130" t="s">
        <v>732</v>
      </c>
      <c r="L130" s="7">
        <v>1.482</v>
      </c>
      <c r="M130" s="8">
        <v>41508</v>
      </c>
      <c r="N130">
        <v>8</v>
      </c>
      <c r="O130" t="s">
        <v>60</v>
      </c>
      <c r="P130">
        <v>2013</v>
      </c>
      <c r="Q130">
        <v>0.33929999999999999</v>
      </c>
      <c r="R130" s="10"/>
      <c r="S130">
        <f>ROUND(ТабCЕС[[#This Row],[Зелений Тариф ЕЦ]]+ТабCЕС[[#This Row],[Зелений Тариф ЕЦ]]*ТабCЕС[[#This Row],[% надбавки]],4)</f>
        <v>0.33929999999999999</v>
      </c>
      <c r="T130" s="8"/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1.5009999999999999</v>
      </c>
      <c r="AG130">
        <v>5.1999999999999998E-2</v>
      </c>
      <c r="AH130">
        <v>8.3000000000000004E-2</v>
      </c>
      <c r="AI130">
        <v>0.14699999999999999</v>
      </c>
      <c r="AJ130">
        <v>0.21299999999999999</v>
      </c>
      <c r="AK130">
        <v>0.23300000000000001</v>
      </c>
      <c r="AL130">
        <v>0.19700000000000001</v>
      </c>
      <c r="AM130">
        <v>0.19500000000000001</v>
      </c>
      <c r="AN130">
        <v>0.23</v>
      </c>
      <c r="AO130">
        <v>0.16600000000000001</v>
      </c>
      <c r="AP130">
        <v>0.14499999999999999</v>
      </c>
      <c r="AQ130">
        <v>4.3999999999999997E-2</v>
      </c>
      <c r="AR130">
        <v>2.4E-2</v>
      </c>
      <c r="AS130">
        <v>3.3000000000000002E-2</v>
      </c>
      <c r="AT130">
        <v>8.2000000000000003E-2</v>
      </c>
      <c r="AU130">
        <v>0.13300000000000001</v>
      </c>
      <c r="AV130">
        <v>0.17899999999999999</v>
      </c>
      <c r="AW130">
        <v>0.17299999999999999</v>
      </c>
      <c r="AX130">
        <v>0.22700000000000001</v>
      </c>
      <c r="AY130">
        <v>0.223</v>
      </c>
      <c r="AZ130">
        <v>0.21099999999999999</v>
      </c>
    </row>
    <row r="131" spans="2:52">
      <c r="C131" t="s">
        <v>58</v>
      </c>
      <c r="D131" t="s">
        <v>384</v>
      </c>
      <c r="F131" s="1" t="s">
        <v>734</v>
      </c>
      <c r="G131" s="1" t="s">
        <v>384</v>
      </c>
      <c r="H131" t="s">
        <v>198</v>
      </c>
      <c r="I131" t="s">
        <v>448</v>
      </c>
      <c r="K131" t="s">
        <v>735</v>
      </c>
      <c r="L131" s="7">
        <v>5.5229999999999997</v>
      </c>
      <c r="M131" s="8">
        <v>43581</v>
      </c>
      <c r="N131">
        <v>4</v>
      </c>
      <c r="O131" t="s">
        <v>57</v>
      </c>
      <c r="P131">
        <v>2019</v>
      </c>
      <c r="Q131">
        <v>0.15029999999999999</v>
      </c>
      <c r="R131" s="10"/>
      <c r="S131">
        <f>ROUND(ТабCЕС[[#This Row],[Зелений Тариф ЕЦ]]+ТабCЕС[[#This Row],[Зелений Тариф ЕЦ]]*ТабCЕС[[#This Row],[% надбавки]],4)</f>
        <v>0.15029999999999999</v>
      </c>
      <c r="T131" s="8"/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0.54900000000000004</v>
      </c>
      <c r="AX131">
        <v>0.83799999999999997</v>
      </c>
      <c r="AY131">
        <v>0.82799999999999996</v>
      </c>
      <c r="AZ131">
        <v>0.81799999999999995</v>
      </c>
    </row>
    <row r="132" spans="2:52">
      <c r="C132" t="s">
        <v>58</v>
      </c>
      <c r="D132" t="s">
        <v>384</v>
      </c>
      <c r="F132" s="1" t="s">
        <v>736</v>
      </c>
      <c r="G132" s="1" t="s">
        <v>737</v>
      </c>
      <c r="H132" t="s">
        <v>98</v>
      </c>
      <c r="K132" t="s">
        <v>738</v>
      </c>
      <c r="L132" s="7">
        <v>2.0350000000000001</v>
      </c>
      <c r="M132" s="8">
        <v>43182</v>
      </c>
      <c r="N132">
        <v>3</v>
      </c>
      <c r="O132" t="s">
        <v>67</v>
      </c>
      <c r="P132">
        <v>2018</v>
      </c>
      <c r="Q132">
        <v>0.15029999999999999</v>
      </c>
      <c r="R132" s="10"/>
      <c r="S132">
        <f>ROUND(ТабCЕС[[#This Row],[Зелений Тариф ЕЦ]]+ТабCЕС[[#This Row],[Зелений Тариф ЕЦ]]*ТабCЕС[[#This Row],[% надбавки]],4)</f>
        <v>0.15029999999999999</v>
      </c>
      <c r="T132" s="8"/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0.28999999999999998</v>
      </c>
      <c r="AK132">
        <v>0.32900000000000001</v>
      </c>
      <c r="AL132">
        <v>0.26800000000000002</v>
      </c>
      <c r="AM132">
        <v>0.25800000000000001</v>
      </c>
      <c r="AN132">
        <v>0.28899999999999998</v>
      </c>
      <c r="AO132">
        <v>0.23699999999999999</v>
      </c>
      <c r="AP132">
        <v>0.17799999999999999</v>
      </c>
      <c r="AQ132">
        <v>6.8000000000000005E-2</v>
      </c>
      <c r="AR132">
        <v>1.7000000000000001E-2</v>
      </c>
      <c r="AS132">
        <v>0.112</v>
      </c>
      <c r="AT132">
        <v>0.48299999999999998</v>
      </c>
      <c r="AU132">
        <v>0.625</v>
      </c>
      <c r="AV132">
        <v>0.83299999999999996</v>
      </c>
      <c r="AW132">
        <v>0.69699999999999995</v>
      </c>
      <c r="AX132">
        <v>1.2050000000000001</v>
      </c>
      <c r="AY132">
        <v>0.628</v>
      </c>
      <c r="AZ132">
        <v>1.1240000000000001</v>
      </c>
    </row>
    <row r="133" spans="2:52">
      <c r="C133" t="s">
        <v>58</v>
      </c>
      <c r="D133" t="s">
        <v>384</v>
      </c>
      <c r="F133" s="1" t="s">
        <v>736</v>
      </c>
      <c r="G133" s="1" t="s">
        <v>739</v>
      </c>
      <c r="H133" t="s">
        <v>98</v>
      </c>
      <c r="K133" t="s">
        <v>740</v>
      </c>
      <c r="L133" s="7">
        <v>2.2440000000000002</v>
      </c>
      <c r="M133" s="8">
        <v>43455</v>
      </c>
      <c r="N133">
        <v>12</v>
      </c>
      <c r="O133" t="s">
        <v>71</v>
      </c>
      <c r="P133">
        <v>2018</v>
      </c>
      <c r="Q133">
        <v>0.15029999999999999</v>
      </c>
      <c r="R133" s="10"/>
      <c r="S133">
        <f>ROUND(ТабCЕС[[#This Row],[Зелений Тариф ЕЦ]]+ТабCЕС[[#This Row],[Зелений Тариф ЕЦ]]*ТабCЕС[[#This Row],[% надбавки]],4)</f>
        <v>0.15029999999999999</v>
      </c>
      <c r="T133" s="8"/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2:52">
      <c r="C134" t="s">
        <v>58</v>
      </c>
      <c r="D134" t="s">
        <v>384</v>
      </c>
      <c r="F134" s="1" t="s">
        <v>736</v>
      </c>
      <c r="G134" s="1" t="s">
        <v>741</v>
      </c>
      <c r="H134" t="s">
        <v>98</v>
      </c>
      <c r="K134" t="s">
        <v>742</v>
      </c>
      <c r="L134" s="7">
        <v>2.2440000000000002</v>
      </c>
      <c r="M134" s="8">
        <v>43455</v>
      </c>
      <c r="N134">
        <v>12</v>
      </c>
      <c r="O134" t="s">
        <v>71</v>
      </c>
      <c r="P134">
        <v>2018</v>
      </c>
      <c r="Q134">
        <v>0.15029999999999999</v>
      </c>
      <c r="R134" s="10"/>
      <c r="S134">
        <f>ROUND(ТабCЕС[[#This Row],[Зелений Тариф ЕЦ]]+ТабCЕС[[#This Row],[Зелений Тариф ЕЦ]]*ТабCЕС[[#This Row],[% надбавки]],4)</f>
        <v>0.15029999999999999</v>
      </c>
      <c r="T134" s="8"/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2:52">
      <c r="C135" t="s">
        <v>58</v>
      </c>
      <c r="D135" t="s">
        <v>384</v>
      </c>
      <c r="F135" s="1" t="s">
        <v>736</v>
      </c>
      <c r="G135" s="1" t="s">
        <v>743</v>
      </c>
      <c r="H135" t="s">
        <v>98</v>
      </c>
      <c r="K135" t="s">
        <v>744</v>
      </c>
      <c r="L135" s="7">
        <v>1.141</v>
      </c>
      <c r="M135" s="8">
        <v>43596</v>
      </c>
      <c r="N135">
        <v>5</v>
      </c>
      <c r="O135" t="s">
        <v>57</v>
      </c>
      <c r="P135">
        <v>2019</v>
      </c>
      <c r="Q135">
        <v>0.15029999999999999</v>
      </c>
      <c r="R135" s="10"/>
      <c r="S135">
        <f>ROUND(ТабCЕС[[#This Row],[Зелений Тариф ЕЦ]]+ТабCЕС[[#This Row],[Зелений Тариф ЕЦ]]*ТабCЕС[[#This Row],[% надбавки]],4)</f>
        <v>0.15029999999999999</v>
      </c>
      <c r="T135" s="8"/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2:52">
      <c r="C136" t="s">
        <v>58</v>
      </c>
      <c r="D136" t="s">
        <v>384</v>
      </c>
      <c r="F136" s="1" t="s">
        <v>745</v>
      </c>
      <c r="G136" s="1" t="s">
        <v>746</v>
      </c>
      <c r="H136" t="s">
        <v>65</v>
      </c>
      <c r="K136" t="s">
        <v>747</v>
      </c>
      <c r="L136" s="7">
        <v>4.5549999999999997</v>
      </c>
      <c r="M136" s="8">
        <v>43462</v>
      </c>
      <c r="N136">
        <v>12</v>
      </c>
      <c r="O136" t="s">
        <v>71</v>
      </c>
      <c r="P136">
        <v>2018</v>
      </c>
      <c r="Q136">
        <v>0.15029999999999999</v>
      </c>
      <c r="R136" s="10"/>
      <c r="S136">
        <f>ROUND(ТабCЕС[[#This Row],[Зелений Тариф ЕЦ]]+ТабCЕС[[#This Row],[Зелений Тариф ЕЦ]]*ТабCЕС[[#This Row],[% надбавки]],4)</f>
        <v>0.15029999999999999</v>
      </c>
      <c r="T136" s="8"/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0.28199999999999997</v>
      </c>
      <c r="AU136">
        <v>0.439</v>
      </c>
      <c r="AV136">
        <v>0.54700000000000004</v>
      </c>
      <c r="AW136">
        <v>0.498</v>
      </c>
      <c r="AX136">
        <v>0.72699999999999998</v>
      </c>
      <c r="AY136">
        <v>0.73799999999999999</v>
      </c>
      <c r="AZ136">
        <v>0.70299999999999996</v>
      </c>
    </row>
    <row r="137" spans="2:52">
      <c r="C137" t="s">
        <v>58</v>
      </c>
      <c r="D137" t="s">
        <v>384</v>
      </c>
      <c r="F137" s="1" t="s">
        <v>748</v>
      </c>
      <c r="G137" s="1" t="s">
        <v>384</v>
      </c>
      <c r="H137" t="s">
        <v>233</v>
      </c>
      <c r="K137" t="s">
        <v>749</v>
      </c>
      <c r="L137" s="7">
        <v>3.5059999999999998</v>
      </c>
      <c r="M137" s="8">
        <v>43567</v>
      </c>
      <c r="N137">
        <v>4</v>
      </c>
      <c r="O137" t="s">
        <v>57</v>
      </c>
      <c r="P137">
        <v>2019</v>
      </c>
      <c r="Q137">
        <v>0.15029999999999999</v>
      </c>
      <c r="R137" s="10"/>
      <c r="S137">
        <f>ROUND(ТабCЕС[[#This Row],[Зелений Тариф ЕЦ]]+ТабCЕС[[#This Row],[Зелений Тариф ЕЦ]]*ТабCЕС[[#This Row],[% надбавки]],4)</f>
        <v>0.15029999999999999</v>
      </c>
      <c r="T137" s="8"/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0.45800000000000002</v>
      </c>
      <c r="AW137">
        <v>0.39200000000000002</v>
      </c>
      <c r="AX137">
        <v>0.59099999999999997</v>
      </c>
      <c r="AY137">
        <v>0.56699999999999995</v>
      </c>
      <c r="AZ137">
        <v>0.55000000000000004</v>
      </c>
    </row>
    <row r="138" spans="2:52">
      <c r="C138" t="s">
        <v>58</v>
      </c>
      <c r="D138" t="s">
        <v>384</v>
      </c>
      <c r="F138" s="1" t="s">
        <v>750</v>
      </c>
      <c r="G138" s="1" t="s">
        <v>751</v>
      </c>
      <c r="H138" t="s">
        <v>136</v>
      </c>
      <c r="K138" t="s">
        <v>752</v>
      </c>
      <c r="L138" s="7">
        <v>4.95</v>
      </c>
      <c r="M138" s="8">
        <v>42047</v>
      </c>
      <c r="N138">
        <v>2</v>
      </c>
      <c r="O138" t="s">
        <v>67</v>
      </c>
      <c r="P138">
        <v>2015</v>
      </c>
      <c r="Q138">
        <v>0.33929999999999999</v>
      </c>
      <c r="R138" s="10"/>
      <c r="S138">
        <f>ROUND(ТабCЕС[[#This Row],[Зелений Тариф ЕЦ]]+ТабCЕС[[#This Row],[Зелений Тариф ЕЦ]]*ТабCЕС[[#This Row],[% надбавки]],4)</f>
        <v>0.33929999999999999</v>
      </c>
      <c r="T138" s="8"/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7.5999999999999998E-2</v>
      </c>
      <c r="AG138">
        <v>0.14299999999999999</v>
      </c>
      <c r="AH138">
        <v>0.20599999999999999</v>
      </c>
      <c r="AI138">
        <v>0.55700000000000005</v>
      </c>
      <c r="AJ138">
        <v>0.92900000000000005</v>
      </c>
      <c r="AK138">
        <v>1.056</v>
      </c>
      <c r="AL138">
        <v>1.022</v>
      </c>
      <c r="AM138">
        <v>0.93700000000000006</v>
      </c>
      <c r="AN138">
        <v>1.08</v>
      </c>
      <c r="AO138">
        <v>0.67700000000000005</v>
      </c>
      <c r="AP138">
        <v>0.67400000000000004</v>
      </c>
      <c r="AQ138">
        <v>0.25800000000000001</v>
      </c>
      <c r="AR138">
        <v>4.2000000000000003E-2</v>
      </c>
      <c r="AS138">
        <v>0.16400000000000001</v>
      </c>
      <c r="AT138">
        <v>0.36499999999999999</v>
      </c>
      <c r="AU138">
        <v>0.64900000000000002</v>
      </c>
      <c r="AV138">
        <v>0.84699999999999998</v>
      </c>
      <c r="AW138">
        <v>0.9</v>
      </c>
      <c r="AX138">
        <v>1.0509999999999999</v>
      </c>
      <c r="AY138">
        <v>0.84</v>
      </c>
      <c r="AZ138">
        <v>1.028</v>
      </c>
    </row>
    <row r="139" spans="2:52">
      <c r="C139" t="s">
        <v>58</v>
      </c>
      <c r="D139" t="s">
        <v>384</v>
      </c>
      <c r="F139" s="1" t="s">
        <v>753</v>
      </c>
      <c r="G139" s="1" t="s">
        <v>408</v>
      </c>
      <c r="H139" t="s">
        <v>172</v>
      </c>
      <c r="K139" t="s">
        <v>754</v>
      </c>
      <c r="L139" s="7">
        <v>1.5</v>
      </c>
      <c r="M139" s="8">
        <v>43013</v>
      </c>
      <c r="N139">
        <v>10</v>
      </c>
      <c r="O139" t="s">
        <v>71</v>
      </c>
      <c r="P139">
        <v>2017</v>
      </c>
      <c r="Q139">
        <v>0.15029999999999999</v>
      </c>
      <c r="R139" s="10"/>
      <c r="S139">
        <f>ROUND(ТабCЕС[[#This Row],[Зелений Тариф ЕЦ]]+ТабCЕС[[#This Row],[Зелений Тариф ЕЦ]]*ТабCЕС[[#This Row],[% надбавки]],4)</f>
        <v>0.15029999999999999</v>
      </c>
      <c r="T139" s="8"/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3.7999999999999999E-2</v>
      </c>
      <c r="AF139">
        <v>2.5000000000000001E-2</v>
      </c>
      <c r="AG139">
        <v>5.3999999999999999E-2</v>
      </c>
      <c r="AH139">
        <v>5.3999999999999999E-2</v>
      </c>
      <c r="AI139">
        <v>0.111</v>
      </c>
      <c r="AJ139">
        <v>0.23899999999999999</v>
      </c>
      <c r="AK139">
        <v>0.25900000000000001</v>
      </c>
      <c r="AL139">
        <v>0.219</v>
      </c>
      <c r="AM139">
        <v>0.23</v>
      </c>
      <c r="AN139">
        <v>0.25600000000000001</v>
      </c>
      <c r="AO139">
        <v>0.16900000000000001</v>
      </c>
      <c r="AP139">
        <v>0.155</v>
      </c>
      <c r="AQ139">
        <v>3.7999999999999999E-2</v>
      </c>
      <c r="AR139">
        <v>1.4E-2</v>
      </c>
      <c r="AS139">
        <v>2.1000000000000001E-2</v>
      </c>
      <c r="AT139">
        <v>7.3999999999999996E-2</v>
      </c>
      <c r="AU139">
        <v>0.14799999999999999</v>
      </c>
      <c r="AV139">
        <v>0.20499999999999999</v>
      </c>
      <c r="AW139">
        <v>0.20100000000000001</v>
      </c>
      <c r="AX139">
        <v>0.26</v>
      </c>
      <c r="AY139">
        <v>0.24199999999999999</v>
      </c>
      <c r="AZ139">
        <v>0.23799999999999999</v>
      </c>
    </row>
    <row r="140" spans="2:52">
      <c r="C140" t="s">
        <v>58</v>
      </c>
      <c r="D140" t="s">
        <v>384</v>
      </c>
      <c r="F140" s="1" t="s">
        <v>753</v>
      </c>
      <c r="G140" s="1" t="s">
        <v>410</v>
      </c>
      <c r="H140" t="s">
        <v>172</v>
      </c>
      <c r="K140" t="s">
        <v>755</v>
      </c>
      <c r="L140" s="7">
        <v>1.452</v>
      </c>
      <c r="M140" s="8">
        <v>43524</v>
      </c>
      <c r="N140">
        <v>2</v>
      </c>
      <c r="O140" t="s">
        <v>67</v>
      </c>
      <c r="P140">
        <v>2019</v>
      </c>
      <c r="Q140">
        <v>0.15029999999999999</v>
      </c>
      <c r="R140" s="10"/>
      <c r="S140">
        <f>ROUND(ТабCЕС[[#This Row],[Зелений Тариф ЕЦ]]+ТабCЕС[[#This Row],[Зелений Тариф ЕЦ]]*ТабCЕС[[#This Row],[% надбавки]],4)</f>
        <v>0.15029999999999999</v>
      </c>
      <c r="T140" s="8"/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7.4999999999999997E-2</v>
      </c>
      <c r="AU140">
        <v>0.14899999999999999</v>
      </c>
      <c r="AV140">
        <v>0.20100000000000001</v>
      </c>
      <c r="AW140">
        <v>0.19500000000000001</v>
      </c>
      <c r="AX140">
        <v>0.251</v>
      </c>
      <c r="AY140">
        <v>0.22900000000000001</v>
      </c>
      <c r="AZ140">
        <v>0.23499999999999999</v>
      </c>
    </row>
    <row r="141" spans="2:52">
      <c r="C141" t="s">
        <v>58</v>
      </c>
      <c r="D141" t="s">
        <v>384</v>
      </c>
      <c r="F141" s="1" t="s">
        <v>756</v>
      </c>
      <c r="G141" s="1" t="s">
        <v>384</v>
      </c>
      <c r="H141" t="s">
        <v>73</v>
      </c>
      <c r="K141" t="s">
        <v>757</v>
      </c>
      <c r="L141" s="7">
        <v>15.465</v>
      </c>
      <c r="M141" s="8">
        <v>43508</v>
      </c>
      <c r="N141">
        <v>2</v>
      </c>
      <c r="O141" t="s">
        <v>67</v>
      </c>
      <c r="P141">
        <v>2019</v>
      </c>
      <c r="Q141">
        <v>0.15029999999999999</v>
      </c>
      <c r="R141" s="10"/>
      <c r="S141">
        <f>ROUND(ТабCЕС[[#This Row],[Зелений Тариф ЕЦ]]+ТабCЕС[[#This Row],[Зелений Тариф ЕЦ]]*ТабCЕС[[#This Row],[% надбавки]],4)</f>
        <v>0.15029999999999999</v>
      </c>
      <c r="T141" s="8"/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5.3070000000000004</v>
      </c>
      <c r="AX141">
        <v>5.484</v>
      </c>
      <c r="AY141">
        <v>5.8490000000000002</v>
      </c>
      <c r="AZ141">
        <v>5.82</v>
      </c>
    </row>
    <row r="142" spans="2:52">
      <c r="C142" t="s">
        <v>58</v>
      </c>
      <c r="D142" t="s">
        <v>384</v>
      </c>
      <c r="F142" s="1" t="s">
        <v>756</v>
      </c>
      <c r="G142" s="1" t="s">
        <v>384</v>
      </c>
      <c r="H142" t="s">
        <v>73</v>
      </c>
      <c r="K142" t="s">
        <v>758</v>
      </c>
      <c r="L142" s="7">
        <v>19.292999999999999</v>
      </c>
      <c r="M142" s="8">
        <v>43508</v>
      </c>
      <c r="N142">
        <v>2</v>
      </c>
      <c r="O142" t="s">
        <v>67</v>
      </c>
      <c r="P142">
        <v>2019</v>
      </c>
      <c r="Q142">
        <v>0.15029999999999999</v>
      </c>
      <c r="R142" s="10"/>
      <c r="S142">
        <f>ROUND(ТабCЕС[[#This Row],[Зелений Тариф ЕЦ]]+ТабCЕС[[#This Row],[Зелений Тариф ЕЦ]]*ТабCЕС[[#This Row],[% надбавки]],4)</f>
        <v>0.15029999999999999</v>
      </c>
      <c r="T142" s="8"/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2:52">
      <c r="B143" t="s">
        <v>759</v>
      </c>
      <c r="C143">
        <v>30279204</v>
      </c>
      <c r="D143" t="s">
        <v>384</v>
      </c>
      <c r="F143" s="1" t="s">
        <v>760</v>
      </c>
      <c r="G143" s="1" t="s">
        <v>384</v>
      </c>
      <c r="H143" t="s">
        <v>198</v>
      </c>
      <c r="I143" t="s">
        <v>653</v>
      </c>
      <c r="J143" t="s">
        <v>761</v>
      </c>
      <c r="K143" t="s">
        <v>761</v>
      </c>
      <c r="L143" s="7">
        <v>0.30199999999999999</v>
      </c>
      <c r="M143" s="8">
        <v>41263</v>
      </c>
      <c r="N143">
        <v>12</v>
      </c>
      <c r="O143" t="s">
        <v>71</v>
      </c>
      <c r="P143">
        <v>2012</v>
      </c>
      <c r="Q143">
        <v>0.46529999999999999</v>
      </c>
      <c r="R143" s="10"/>
      <c r="S143">
        <f>ROUND(ТабCЕС[[#This Row],[Зелений Тариф ЕЦ]]+ТабCЕС[[#This Row],[Зелений Тариф ЕЦ]]*ТабCЕС[[#This Row],[% надбавки]],4)</f>
        <v>0.46529999999999999</v>
      </c>
      <c r="T143" s="8"/>
      <c r="U143">
        <v>1.6E-2</v>
      </c>
      <c r="V143">
        <v>2.5000000000000001E-2</v>
      </c>
      <c r="W143">
        <v>4.1000000000000002E-2</v>
      </c>
      <c r="X143">
        <v>6.0999999999999985E-2</v>
      </c>
      <c r="Y143">
        <v>7.1000000000000008E-2</v>
      </c>
      <c r="Z143">
        <v>7.3999999999999982E-2</v>
      </c>
      <c r="AA143">
        <v>7.2000000000000008E-2</v>
      </c>
      <c r="AB143">
        <v>7.400000000000001E-2</v>
      </c>
      <c r="AC143">
        <v>4.9999999999999989E-2</v>
      </c>
      <c r="AD143">
        <v>2.300000000000002E-2</v>
      </c>
      <c r="AE143">
        <v>1.100000000000001E-2</v>
      </c>
      <c r="AF143">
        <v>6.0000000000000053E-3</v>
      </c>
      <c r="AG143">
        <v>1.4E-2</v>
      </c>
      <c r="AH143">
        <v>2.1999999999999999E-2</v>
      </c>
      <c r="AI143">
        <v>3.5000000000000003E-2</v>
      </c>
      <c r="AJ143">
        <v>6.3E-2</v>
      </c>
      <c r="AK143">
        <v>6.8000000000000005E-2</v>
      </c>
      <c r="AL143">
        <v>6.0999999999999999E-2</v>
      </c>
      <c r="AM143">
        <v>5.6000000000000001E-2</v>
      </c>
      <c r="AN143">
        <v>6.3E-2</v>
      </c>
      <c r="AO143">
        <v>4.2000000000000003E-2</v>
      </c>
      <c r="AP143">
        <v>3.6999999999999998E-2</v>
      </c>
      <c r="AQ143">
        <v>1.0999999999999999E-2</v>
      </c>
      <c r="AR143">
        <v>5.0000000000000001E-3</v>
      </c>
      <c r="AS143">
        <v>5.0000000000000001E-3</v>
      </c>
      <c r="AT143">
        <v>2.1000000000000001E-2</v>
      </c>
      <c r="AU143">
        <v>3.5999999999999997E-2</v>
      </c>
      <c r="AV143">
        <v>5.1999999999999998E-2</v>
      </c>
      <c r="AW143">
        <v>0.05</v>
      </c>
      <c r="AX143">
        <v>6.3E-2</v>
      </c>
      <c r="AY143">
        <v>5.5E-2</v>
      </c>
      <c r="AZ143">
        <v>6.5000000000000002E-2</v>
      </c>
    </row>
    <row r="144" spans="2:52">
      <c r="B144" t="s">
        <v>762</v>
      </c>
      <c r="C144">
        <v>24895253</v>
      </c>
      <c r="D144" t="s">
        <v>384</v>
      </c>
      <c r="F144" s="1" t="s">
        <v>763</v>
      </c>
      <c r="G144" s="1" t="s">
        <v>764</v>
      </c>
      <c r="H144" t="s">
        <v>198</v>
      </c>
      <c r="I144" t="s">
        <v>571</v>
      </c>
      <c r="J144" t="s">
        <v>765</v>
      </c>
      <c r="K144" t="s">
        <v>765</v>
      </c>
      <c r="L144" s="7">
        <v>0.51100000000000001</v>
      </c>
      <c r="M144" s="8">
        <v>41730</v>
      </c>
      <c r="N144">
        <v>4</v>
      </c>
      <c r="O144" t="s">
        <v>57</v>
      </c>
      <c r="P144">
        <v>2014</v>
      </c>
      <c r="Q144">
        <v>0.33929999999999999</v>
      </c>
      <c r="R144" s="10"/>
      <c r="S144">
        <f>ROUND(ТабCЕС[[#This Row],[Зелений Тариф ЕЦ]]+ТабCЕС[[#This Row],[Зелений Тариф ЕЦ]]*ТабCЕС[[#This Row],[% надбавки]],4)</f>
        <v>0.33929999999999999</v>
      </c>
      <c r="T144" s="8"/>
      <c r="U144">
        <v>2.3E-2</v>
      </c>
      <c r="V144">
        <v>2.1999999999999985E-2</v>
      </c>
      <c r="W144">
        <v>6.0000000000000012E-2</v>
      </c>
      <c r="X144">
        <v>7.0999999999999994E-2</v>
      </c>
      <c r="Y144">
        <v>8.0000000000000016E-2</v>
      </c>
      <c r="Z144">
        <v>8.500000000000002E-2</v>
      </c>
      <c r="AA144">
        <v>7.999999999999996E-2</v>
      </c>
      <c r="AB144">
        <v>7.8000000000000014E-2</v>
      </c>
      <c r="AC144">
        <v>6.0000000000000053E-2</v>
      </c>
      <c r="AD144">
        <v>3.3999999999999919E-2</v>
      </c>
      <c r="AE144">
        <v>1.3000000000000012E-2</v>
      </c>
      <c r="AF144">
        <v>1.2000000000000011E-2</v>
      </c>
      <c r="AG144">
        <v>2.3E-2</v>
      </c>
      <c r="AH144">
        <v>2.4E-2</v>
      </c>
      <c r="AI144">
        <v>4.3999999999999997E-2</v>
      </c>
      <c r="AJ144">
        <v>0.08</v>
      </c>
      <c r="AK144">
        <v>8.5000000000000006E-2</v>
      </c>
      <c r="AL144">
        <v>7.0999999999999994E-2</v>
      </c>
      <c r="AM144">
        <v>7.2999999999999995E-2</v>
      </c>
      <c r="AN144">
        <v>8.5000000000000006E-2</v>
      </c>
      <c r="AO144">
        <v>5.6000000000000001E-2</v>
      </c>
      <c r="AP144">
        <v>5.2999999999999999E-2</v>
      </c>
      <c r="AQ144">
        <v>1.6E-2</v>
      </c>
      <c r="AR144">
        <v>1.0999999999999999E-2</v>
      </c>
      <c r="AS144">
        <v>1.4E-2</v>
      </c>
      <c r="AT144">
        <v>2.3E-2</v>
      </c>
      <c r="AU144">
        <v>5.0999999999999997E-2</v>
      </c>
      <c r="AV144">
        <v>6.7000000000000004E-2</v>
      </c>
      <c r="AW144">
        <v>6.5000000000000002E-2</v>
      </c>
      <c r="AX144">
        <v>8.3000000000000004E-2</v>
      </c>
      <c r="AY144">
        <v>0.08</v>
      </c>
      <c r="AZ144">
        <v>0.08</v>
      </c>
    </row>
    <row r="145" spans="2:52">
      <c r="B145" t="s">
        <v>766</v>
      </c>
      <c r="C145">
        <v>24895253</v>
      </c>
      <c r="D145" t="s">
        <v>384</v>
      </c>
      <c r="F145" s="1" t="s">
        <v>763</v>
      </c>
      <c r="G145" s="1" t="s">
        <v>767</v>
      </c>
      <c r="H145" t="s">
        <v>198</v>
      </c>
      <c r="I145" t="s">
        <v>571</v>
      </c>
      <c r="J145" t="s">
        <v>765</v>
      </c>
      <c r="K145" t="s">
        <v>765</v>
      </c>
      <c r="L145" s="7">
        <v>1.472</v>
      </c>
      <c r="M145" s="8">
        <v>40771</v>
      </c>
      <c r="N145">
        <v>8</v>
      </c>
      <c r="O145" t="s">
        <v>60</v>
      </c>
      <c r="P145">
        <v>2011</v>
      </c>
      <c r="Q145">
        <v>0.46529999999999999</v>
      </c>
      <c r="R145" s="10"/>
      <c r="S145">
        <f>ROUND(ТабCЕС[[#This Row],[Зелений Тариф ЕЦ]]+ТабCЕС[[#This Row],[Зелений Тариф ЕЦ]]*ТабCЕС[[#This Row],[% надбавки]],4)</f>
        <v>0.46529999999999999</v>
      </c>
      <c r="T145" s="8"/>
      <c r="U145">
        <v>0.14399999999999999</v>
      </c>
      <c r="V145">
        <v>0.20599999999999999</v>
      </c>
      <c r="W145">
        <v>0.30000000000000004</v>
      </c>
      <c r="X145">
        <v>0.47099999999999997</v>
      </c>
      <c r="Y145">
        <v>0.53099999999999992</v>
      </c>
      <c r="Z145">
        <v>0.55200000000000027</v>
      </c>
      <c r="AA145">
        <v>0.53099999999999969</v>
      </c>
      <c r="AB145">
        <v>0.52300000000000013</v>
      </c>
      <c r="AC145">
        <v>0.39599999999999991</v>
      </c>
      <c r="AD145">
        <v>0.22599999999999998</v>
      </c>
      <c r="AE145">
        <v>8.4000000000000075E-2</v>
      </c>
      <c r="AF145">
        <v>7.7999999999999847E-2</v>
      </c>
      <c r="AG145">
        <v>0.15</v>
      </c>
      <c r="AH145">
        <v>0.16200000000000001</v>
      </c>
      <c r="AI145">
        <v>0.29799999999999999</v>
      </c>
      <c r="AJ145">
        <v>0.52900000000000003</v>
      </c>
      <c r="AK145">
        <v>0.55900000000000005</v>
      </c>
      <c r="AL145">
        <v>0.47099999999999997</v>
      </c>
      <c r="AM145">
        <v>0.48399999999999999</v>
      </c>
      <c r="AN145">
        <v>0.55900000000000005</v>
      </c>
      <c r="AO145">
        <v>0.373</v>
      </c>
      <c r="AP145">
        <v>0.35299999999999998</v>
      </c>
      <c r="AQ145">
        <v>0.10199999999999999</v>
      </c>
      <c r="AR145">
        <v>7.5999999999999998E-2</v>
      </c>
      <c r="AS145">
        <v>8.5000000000000006E-2</v>
      </c>
      <c r="AT145">
        <v>0.157</v>
      </c>
      <c r="AU145">
        <v>0.34100000000000003</v>
      </c>
      <c r="AV145">
        <v>0.443</v>
      </c>
      <c r="AW145">
        <v>0.42799999999999999</v>
      </c>
      <c r="AX145">
        <v>0.54</v>
      </c>
      <c r="AY145">
        <v>0.51700000000000002</v>
      </c>
      <c r="AZ145">
        <v>0.52200000000000002</v>
      </c>
    </row>
    <row r="146" spans="2:52">
      <c r="B146" t="s">
        <v>768</v>
      </c>
      <c r="C146">
        <v>24895253</v>
      </c>
      <c r="D146" t="s">
        <v>384</v>
      </c>
      <c r="F146" s="1" t="s">
        <v>763</v>
      </c>
      <c r="G146" s="1" t="s">
        <v>769</v>
      </c>
      <c r="H146" t="s">
        <v>198</v>
      </c>
      <c r="L146" s="7">
        <v>1.875</v>
      </c>
      <c r="M146" s="8">
        <v>40808</v>
      </c>
      <c r="N146">
        <v>9</v>
      </c>
      <c r="O146" t="s">
        <v>60</v>
      </c>
      <c r="P146">
        <v>2011</v>
      </c>
      <c r="Q146">
        <v>0.46529999999999999</v>
      </c>
      <c r="R146" s="10"/>
      <c r="S146">
        <f>ROUND(ТабCЕС[[#This Row],[Зелений Тариф ЕЦ]]+ТабCЕС[[#This Row],[Зелений Тариф ЕЦ]]*ТабCЕС[[#This Row],[% надбавки]],4)</f>
        <v>0.46529999999999999</v>
      </c>
      <c r="T146" s="8"/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2:52">
      <c r="B147" t="s">
        <v>770</v>
      </c>
      <c r="C147">
        <v>24895253</v>
      </c>
      <c r="D147" t="s">
        <v>384</v>
      </c>
      <c r="F147" s="1" t="s">
        <v>763</v>
      </c>
      <c r="G147" s="1" t="s">
        <v>771</v>
      </c>
      <c r="H147" t="s">
        <v>198</v>
      </c>
      <c r="I147" t="s">
        <v>772</v>
      </c>
      <c r="J147" t="s">
        <v>773</v>
      </c>
      <c r="K147" t="s">
        <v>773</v>
      </c>
      <c r="L147" s="7">
        <v>2.8519999999999999</v>
      </c>
      <c r="M147" s="8">
        <v>43567</v>
      </c>
      <c r="N147">
        <v>4</v>
      </c>
      <c r="O147" t="s">
        <v>57</v>
      </c>
      <c r="P147">
        <v>2019</v>
      </c>
      <c r="Q147">
        <v>0.15029999999999999</v>
      </c>
      <c r="R147" s="10"/>
      <c r="S147">
        <f>ROUND(ТабCЕС[[#This Row],[Зелений Тариф ЕЦ]]+ТабCЕС[[#This Row],[Зелений Тариф ЕЦ]]*ТабCЕС[[#This Row],[% надбавки]],4)</f>
        <v>0.15029999999999999</v>
      </c>
      <c r="T147" s="8"/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0.35499999999999998</v>
      </c>
      <c r="AX147">
        <v>0.40200000000000002</v>
      </c>
      <c r="AY147">
        <v>0.38600000000000001</v>
      </c>
      <c r="AZ147">
        <v>0.40899999999999997</v>
      </c>
    </row>
    <row r="148" spans="2:52">
      <c r="C148" t="s">
        <v>58</v>
      </c>
      <c r="D148" t="s">
        <v>384</v>
      </c>
      <c r="F148" s="1" t="s">
        <v>774</v>
      </c>
      <c r="G148" s="1" t="s">
        <v>775</v>
      </c>
      <c r="H148" t="s">
        <v>172</v>
      </c>
      <c r="I148" t="s">
        <v>776</v>
      </c>
      <c r="J148" t="s">
        <v>777</v>
      </c>
      <c r="K148" t="s">
        <v>778</v>
      </c>
      <c r="L148" s="7">
        <v>2.222</v>
      </c>
      <c r="M148" s="8">
        <v>43396</v>
      </c>
      <c r="N148">
        <v>10</v>
      </c>
      <c r="O148" t="s">
        <v>71</v>
      </c>
      <c r="P148">
        <v>2018</v>
      </c>
      <c r="Q148">
        <v>0.15029999999999999</v>
      </c>
      <c r="R148" s="10"/>
      <c r="S148">
        <f>ROUND(ТабCЕС[[#This Row],[Зелений Тариф ЕЦ]]+ТабCЕС[[#This Row],[Зелений Тариф ЕЦ]]*ТабCЕС[[#This Row],[% надбавки]],4)</f>
        <v>0.15029999999999999</v>
      </c>
      <c r="T148" s="8"/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7.9000000000000001E-2</v>
      </c>
      <c r="AQ148">
        <v>6.2E-2</v>
      </c>
      <c r="AR148">
        <v>1.7000000000000001E-2</v>
      </c>
      <c r="AS148">
        <v>1.7000000000000001E-2</v>
      </c>
      <c r="AT148">
        <v>0.122</v>
      </c>
      <c r="AU148">
        <v>0.20599999999999999</v>
      </c>
      <c r="AV148">
        <v>0.29799999999999999</v>
      </c>
      <c r="AW148">
        <v>0.27500000000000002</v>
      </c>
      <c r="AX148">
        <v>0.38900000000000001</v>
      </c>
      <c r="AY148">
        <v>0.35299999999999998</v>
      </c>
      <c r="AZ148">
        <v>0.628</v>
      </c>
    </row>
    <row r="149" spans="2:52">
      <c r="C149" t="s">
        <v>58</v>
      </c>
      <c r="D149" t="s">
        <v>384</v>
      </c>
      <c r="F149" s="1" t="s">
        <v>774</v>
      </c>
      <c r="G149" s="1" t="s">
        <v>779</v>
      </c>
      <c r="H149" t="s">
        <v>172</v>
      </c>
      <c r="I149" t="s">
        <v>776</v>
      </c>
      <c r="J149" t="s">
        <v>777</v>
      </c>
      <c r="K149" t="s">
        <v>778</v>
      </c>
      <c r="L149" s="7">
        <v>2.2629999999999999</v>
      </c>
      <c r="M149" s="8">
        <v>43700</v>
      </c>
      <c r="N149">
        <v>8</v>
      </c>
      <c r="O149" t="s">
        <v>60</v>
      </c>
      <c r="P149">
        <v>2019</v>
      </c>
      <c r="Q149">
        <v>0.15029999999999999</v>
      </c>
      <c r="R149" s="10"/>
      <c r="S149">
        <f>ROUND(ТабCЕС[[#This Row],[Зелений Тариф ЕЦ]]+ТабCЕС[[#This Row],[Зелений Тариф ЕЦ]]*ТабCЕС[[#This Row],[% надбавки]],4)</f>
        <v>0.15029999999999999</v>
      </c>
      <c r="T149" s="8"/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2:52">
      <c r="C150" t="s">
        <v>58</v>
      </c>
      <c r="D150" t="s">
        <v>384</v>
      </c>
      <c r="F150" s="1" t="s">
        <v>780</v>
      </c>
      <c r="G150" s="1" t="s">
        <v>781</v>
      </c>
      <c r="H150" t="s">
        <v>98</v>
      </c>
      <c r="I150" t="s">
        <v>458</v>
      </c>
      <c r="J150" t="s">
        <v>782</v>
      </c>
      <c r="K150" t="s">
        <v>783</v>
      </c>
      <c r="L150" s="7">
        <v>36.753</v>
      </c>
      <c r="M150" s="8">
        <v>43403</v>
      </c>
      <c r="N150">
        <v>10</v>
      </c>
      <c r="O150" t="s">
        <v>71</v>
      </c>
      <c r="P150">
        <v>2018</v>
      </c>
      <c r="Q150">
        <v>0.15029999999999999</v>
      </c>
      <c r="R150" s="10"/>
      <c r="S150">
        <f>ROUND(ТабCЕС[[#This Row],[Зелений Тариф ЕЦ]]+ТабCЕС[[#This Row],[Зелений Тариф ЕЦ]]*ТабCЕС[[#This Row],[% надбавки]],4)</f>
        <v>0.15029999999999999</v>
      </c>
      <c r="T150" s="8"/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1.5740000000000001</v>
      </c>
      <c r="AR150">
        <v>0.45600000000000002</v>
      </c>
      <c r="AS150">
        <v>0.629</v>
      </c>
      <c r="AT150">
        <v>2.5259999999999998</v>
      </c>
      <c r="AU150">
        <v>3.4089999999999998</v>
      </c>
      <c r="AV150">
        <v>4.83</v>
      </c>
      <c r="AW150">
        <v>3.82</v>
      </c>
      <c r="AX150">
        <v>5.8630000000000004</v>
      </c>
      <c r="AY150">
        <v>5.319</v>
      </c>
      <c r="AZ150">
        <v>5.5650000000000004</v>
      </c>
    </row>
    <row r="151" spans="2:52" ht="25.5">
      <c r="C151" t="s">
        <v>58</v>
      </c>
      <c r="D151" t="s">
        <v>384</v>
      </c>
      <c r="F151" s="1" t="s">
        <v>784</v>
      </c>
      <c r="G151" s="1" t="s">
        <v>785</v>
      </c>
      <c r="H151" t="s">
        <v>98</v>
      </c>
      <c r="I151" t="s">
        <v>458</v>
      </c>
      <c r="J151" t="s">
        <v>782</v>
      </c>
      <c r="L151" s="7">
        <v>5.94</v>
      </c>
      <c r="M151" s="8">
        <v>43007</v>
      </c>
      <c r="N151">
        <v>9</v>
      </c>
      <c r="O151" t="s">
        <v>60</v>
      </c>
      <c r="P151">
        <v>2017</v>
      </c>
      <c r="Q151">
        <v>0.15029999999999999</v>
      </c>
      <c r="R151" s="10"/>
      <c r="S151">
        <f>ROUND(ТабCЕС[[#This Row],[Зелений Тариф ЕЦ]]+ТабCЕС[[#This Row],[Зелений Тариф ЕЦ]]*ТабCЕС[[#This Row],[% надбавки]],4)</f>
        <v>0.15029999999999999</v>
      </c>
      <c r="T151" s="8"/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0.373</v>
      </c>
      <c r="AE151">
        <v>0.18700000000000006</v>
      </c>
      <c r="AF151">
        <v>7.999999999999996E-2</v>
      </c>
      <c r="AG151">
        <v>0.187</v>
      </c>
      <c r="AH151">
        <v>0.16400000000000001</v>
      </c>
      <c r="AI151">
        <v>0.48699999999999999</v>
      </c>
      <c r="AJ151">
        <v>0.84599999999999997</v>
      </c>
      <c r="AK151">
        <v>0.999</v>
      </c>
      <c r="AL151">
        <v>0.79700000000000004</v>
      </c>
      <c r="AM151">
        <v>1.5189999999999999</v>
      </c>
      <c r="AN151">
        <v>1.6319999999999999</v>
      </c>
      <c r="AO151">
        <v>1.36</v>
      </c>
      <c r="AP151">
        <v>0.97799999999999998</v>
      </c>
      <c r="AQ151">
        <v>0.46500000000000002</v>
      </c>
      <c r="AR151">
        <v>0.125</v>
      </c>
      <c r="AS151">
        <v>0.186</v>
      </c>
      <c r="AT151">
        <v>0.75800000000000001</v>
      </c>
      <c r="AU151">
        <v>1.069</v>
      </c>
      <c r="AV151">
        <v>1.5289999999999999</v>
      </c>
      <c r="AW151">
        <v>1.2889999999999999</v>
      </c>
      <c r="AX151">
        <v>1.9159999999999999</v>
      </c>
      <c r="AY151">
        <v>1.72</v>
      </c>
      <c r="AZ151">
        <v>1.748</v>
      </c>
    </row>
    <row r="152" spans="2:52" ht="25.5">
      <c r="C152" t="s">
        <v>58</v>
      </c>
      <c r="D152" t="s">
        <v>384</v>
      </c>
      <c r="F152" s="1" t="s">
        <v>784</v>
      </c>
      <c r="G152" s="1" t="s">
        <v>786</v>
      </c>
      <c r="H152" t="s">
        <v>98</v>
      </c>
      <c r="I152" t="s">
        <v>458</v>
      </c>
      <c r="J152" t="s">
        <v>782</v>
      </c>
      <c r="L152" s="7">
        <v>5.7969999999999997</v>
      </c>
      <c r="M152" s="8">
        <v>43277</v>
      </c>
      <c r="N152">
        <v>6</v>
      </c>
      <c r="O152" t="s">
        <v>57</v>
      </c>
      <c r="P152">
        <v>2018</v>
      </c>
      <c r="Q152">
        <v>0.15029999999999999</v>
      </c>
      <c r="R152" s="10"/>
      <c r="S152">
        <f>ROUND(ТабCЕС[[#This Row],[Зелений Тариф ЕЦ]]+ТабCЕС[[#This Row],[Зелений Тариф ЕЦ]]*ТабCЕС[[#This Row],[% надбавки]],4)</f>
        <v>0.15029999999999999</v>
      </c>
      <c r="T152" s="8"/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2:52">
      <c r="C153" t="s">
        <v>58</v>
      </c>
      <c r="D153" t="s">
        <v>384</v>
      </c>
      <c r="F153" s="1" t="s">
        <v>787</v>
      </c>
      <c r="G153" s="1" t="s">
        <v>384</v>
      </c>
      <c r="H153" t="s">
        <v>122</v>
      </c>
      <c r="I153" t="s">
        <v>369</v>
      </c>
      <c r="K153" t="s">
        <v>788</v>
      </c>
      <c r="L153" s="7">
        <v>2.4060000000000001</v>
      </c>
      <c r="M153" s="8">
        <v>43340</v>
      </c>
      <c r="N153">
        <v>8</v>
      </c>
      <c r="O153" t="s">
        <v>60</v>
      </c>
      <c r="P153">
        <v>2018</v>
      </c>
      <c r="Q153">
        <v>0.15029999999999999</v>
      </c>
      <c r="R153" s="10"/>
      <c r="S153">
        <f>ROUND(ТабCЕС[[#This Row],[Зелений Тариф ЕЦ]]+ТабCЕС[[#This Row],[Зелений Тариф ЕЦ]]*ТабCЕС[[#This Row],[% надбавки]],4)</f>
        <v>0.15029999999999999</v>
      </c>
      <c r="T153" s="8"/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0.24199999999999999</v>
      </c>
      <c r="AV153">
        <v>0.34100000000000003</v>
      </c>
      <c r="AW153">
        <v>0.35</v>
      </c>
      <c r="AX153">
        <v>0.40799999999999997</v>
      </c>
      <c r="AY153">
        <v>0.40699999999999997</v>
      </c>
      <c r="AZ153">
        <v>0.36599999999999999</v>
      </c>
    </row>
    <row r="154" spans="2:52">
      <c r="C154" t="s">
        <v>58</v>
      </c>
      <c r="D154" t="s">
        <v>384</v>
      </c>
      <c r="F154" s="1" t="s">
        <v>787</v>
      </c>
      <c r="G154" s="1" t="s">
        <v>789</v>
      </c>
      <c r="H154" t="s">
        <v>122</v>
      </c>
      <c r="I154" t="s">
        <v>790</v>
      </c>
      <c r="K154" t="s">
        <v>791</v>
      </c>
      <c r="L154" s="7">
        <v>6.6820000000000004</v>
      </c>
      <c r="M154" s="8">
        <v>43664</v>
      </c>
      <c r="N154">
        <v>7</v>
      </c>
      <c r="O154" t="s">
        <v>60</v>
      </c>
      <c r="P154">
        <v>2019</v>
      </c>
      <c r="Q154">
        <v>0.15029999999999999</v>
      </c>
      <c r="R154" s="10"/>
      <c r="S154">
        <f>ROUND(ТабCЕС[[#This Row],[Зелений Тариф ЕЦ]]+ТабCЕС[[#This Row],[Зелений Тариф ЕЦ]]*ТабCЕС[[#This Row],[% надбавки]],4)</f>
        <v>0.15029999999999999</v>
      </c>
      <c r="T154" s="8"/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2:52">
      <c r="B155" t="s">
        <v>792</v>
      </c>
      <c r="C155">
        <v>39046236</v>
      </c>
      <c r="D155" t="s">
        <v>384</v>
      </c>
      <c r="F155" s="1" t="s">
        <v>793</v>
      </c>
      <c r="G155" s="1" t="s">
        <v>384</v>
      </c>
      <c r="H155" t="s">
        <v>198</v>
      </c>
      <c r="I155" t="s">
        <v>696</v>
      </c>
      <c r="K155" t="s">
        <v>794</v>
      </c>
      <c r="L155" s="7">
        <v>7.2990000000000004</v>
      </c>
      <c r="M155" s="8">
        <v>42794</v>
      </c>
      <c r="N155">
        <v>2</v>
      </c>
      <c r="O155" t="s">
        <v>67</v>
      </c>
      <c r="P155">
        <v>2017</v>
      </c>
      <c r="Q155">
        <v>0.15989999999999999</v>
      </c>
      <c r="R155" s="10">
        <v>0.05</v>
      </c>
      <c r="S155">
        <f>ROUND(ТабCЕС[[#This Row],[Зелений Тариф ЕЦ]]+ТабCЕС[[#This Row],[Зелений Тариф ЕЦ]]*ТабCЕС[[#This Row],[% надбавки]],4)</f>
        <v>0.16789999999999999</v>
      </c>
      <c r="T155" s="8">
        <v>43263</v>
      </c>
      <c r="U155">
        <v>0</v>
      </c>
      <c r="V155">
        <v>0</v>
      </c>
      <c r="W155">
        <v>0.55900000000000005</v>
      </c>
      <c r="X155">
        <v>0.94399999999999984</v>
      </c>
      <c r="Y155">
        <v>1.1239999999999999</v>
      </c>
      <c r="Z155">
        <v>1.177</v>
      </c>
      <c r="AA155">
        <v>1.1549999999999998</v>
      </c>
      <c r="AB155">
        <v>1.0880000000000001</v>
      </c>
      <c r="AC155">
        <v>0.78699999999999992</v>
      </c>
      <c r="AD155">
        <v>0.41900000000000048</v>
      </c>
      <c r="AE155">
        <v>0.15899999999999981</v>
      </c>
      <c r="AF155">
        <v>9.4000000000000306E-2</v>
      </c>
      <c r="AG155">
        <v>0.20100000000000001</v>
      </c>
      <c r="AH155">
        <v>0.30099999999999999</v>
      </c>
      <c r="AI155">
        <v>0.61199999999999999</v>
      </c>
      <c r="AJ155">
        <v>1.1259999999999999</v>
      </c>
      <c r="AK155">
        <v>1.226</v>
      </c>
      <c r="AL155">
        <v>1.0329999999999999</v>
      </c>
      <c r="AM155">
        <v>1.0449999999999999</v>
      </c>
      <c r="AN155">
        <v>1.194</v>
      </c>
      <c r="AO155">
        <v>0.78400000000000003</v>
      </c>
      <c r="AP155">
        <v>0.70799999999999996</v>
      </c>
      <c r="AQ155">
        <v>0.154</v>
      </c>
      <c r="AR155">
        <v>6.9000000000000006E-2</v>
      </c>
      <c r="AS155">
        <v>6.7000000000000004E-2</v>
      </c>
      <c r="AT155">
        <v>0.28000000000000003</v>
      </c>
      <c r="AU155">
        <v>0.66800000000000004</v>
      </c>
      <c r="AV155">
        <v>0.96399999999999997</v>
      </c>
      <c r="AW155">
        <v>0.95499999999999996</v>
      </c>
      <c r="AX155">
        <v>1.2350000000000001</v>
      </c>
      <c r="AY155">
        <v>1.101</v>
      </c>
      <c r="AZ155">
        <v>1.145</v>
      </c>
    </row>
    <row r="156" spans="2:52">
      <c r="C156" t="s">
        <v>58</v>
      </c>
      <c r="D156" t="s">
        <v>384</v>
      </c>
      <c r="F156" s="1" t="s">
        <v>795</v>
      </c>
      <c r="G156" s="1" t="s">
        <v>796</v>
      </c>
      <c r="H156" t="s">
        <v>82</v>
      </c>
      <c r="I156" t="s">
        <v>797</v>
      </c>
      <c r="K156" t="s">
        <v>798</v>
      </c>
      <c r="L156" s="7">
        <v>19.033000000000001</v>
      </c>
      <c r="M156" s="8">
        <v>43553</v>
      </c>
      <c r="N156">
        <v>3</v>
      </c>
      <c r="O156" t="s">
        <v>67</v>
      </c>
      <c r="P156">
        <v>2019</v>
      </c>
      <c r="Q156">
        <v>0.15029999999999999</v>
      </c>
      <c r="R156" s="10">
        <v>0.05</v>
      </c>
      <c r="S156">
        <f>ROUND(ТабCЕС[[#This Row],[Зелений Тариф ЕЦ]]+ТабCЕС[[#This Row],[Зелений Тариф ЕЦ]]*ТабCЕС[[#This Row],[% надбавки]],4)</f>
        <v>0.1578</v>
      </c>
      <c r="T156" s="8">
        <v>43596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2.4220000000000002</v>
      </c>
      <c r="AW156">
        <v>2.5710000000000002</v>
      </c>
      <c r="AX156">
        <v>2.9670000000000001</v>
      </c>
      <c r="AY156">
        <v>3.109</v>
      </c>
      <c r="AZ156">
        <v>3.0430000000000001</v>
      </c>
    </row>
    <row r="157" spans="2:52">
      <c r="C157" t="s">
        <v>58</v>
      </c>
      <c r="D157" t="s">
        <v>384</v>
      </c>
      <c r="F157" s="1" t="s">
        <v>795</v>
      </c>
      <c r="G157" s="1" t="s">
        <v>799</v>
      </c>
      <c r="H157" t="s">
        <v>82</v>
      </c>
      <c r="I157" t="s">
        <v>800</v>
      </c>
      <c r="K157" t="s">
        <v>801</v>
      </c>
      <c r="L157" s="7">
        <v>19.998999999999999</v>
      </c>
      <c r="M157" s="8">
        <v>43602</v>
      </c>
      <c r="N157">
        <v>5</v>
      </c>
      <c r="O157" t="s">
        <v>57</v>
      </c>
      <c r="P157">
        <v>2019</v>
      </c>
      <c r="Q157">
        <v>0.15029999999999999</v>
      </c>
      <c r="R157" s="10">
        <v>0.05</v>
      </c>
      <c r="S157">
        <f>ROUND(ТабCЕС[[#This Row],[Зелений Тариф ЕЦ]]+ТабCЕС[[#This Row],[Зелений Тариф ЕЦ]]*ТабCЕС[[#This Row],[% надбавки]],4)</f>
        <v>0.1578</v>
      </c>
      <c r="T157" s="8">
        <v>43637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3.052</v>
      </c>
      <c r="AY157">
        <v>3.2690000000000001</v>
      </c>
      <c r="AZ157">
        <v>3.117</v>
      </c>
    </row>
    <row r="158" spans="2:52">
      <c r="C158" t="s">
        <v>58</v>
      </c>
      <c r="D158" t="s">
        <v>384</v>
      </c>
      <c r="F158" s="1" t="s">
        <v>802</v>
      </c>
      <c r="G158" s="1" t="s">
        <v>384</v>
      </c>
      <c r="H158" t="s">
        <v>122</v>
      </c>
      <c r="K158" t="s">
        <v>803</v>
      </c>
      <c r="L158" s="7">
        <v>5.2450000000000001</v>
      </c>
      <c r="M158" s="8">
        <v>43641</v>
      </c>
      <c r="N158">
        <v>6</v>
      </c>
      <c r="O158" t="s">
        <v>57</v>
      </c>
      <c r="P158">
        <v>2019</v>
      </c>
      <c r="Q158">
        <v>0.15029999999999999</v>
      </c>
      <c r="R158" s="10"/>
      <c r="S158">
        <f>ROUND(ТабCЕС[[#This Row],[Зелений Тариф ЕЦ]]+ТабCЕС[[#This Row],[Зелений Тариф ЕЦ]]*ТабCЕС[[#This Row],[% надбавки]],4)</f>
        <v>0.15029999999999999</v>
      </c>
      <c r="T158" s="8"/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0.251</v>
      </c>
      <c r="AZ158">
        <v>0.84699999999999998</v>
      </c>
    </row>
    <row r="159" spans="2:52">
      <c r="C159" t="s">
        <v>58</v>
      </c>
      <c r="D159" t="s">
        <v>384</v>
      </c>
      <c r="F159" s="1" t="s">
        <v>804</v>
      </c>
      <c r="G159" s="1" t="s">
        <v>384</v>
      </c>
      <c r="H159" t="s">
        <v>122</v>
      </c>
      <c r="J159" t="s">
        <v>805</v>
      </c>
      <c r="K159" t="s">
        <v>806</v>
      </c>
      <c r="L159" s="7">
        <v>3.2069999999999999</v>
      </c>
      <c r="M159" s="8">
        <v>43522</v>
      </c>
      <c r="N159">
        <v>2</v>
      </c>
      <c r="O159" t="s">
        <v>67</v>
      </c>
      <c r="P159">
        <v>2019</v>
      </c>
      <c r="Q159">
        <v>0.15029999999999999</v>
      </c>
      <c r="R159" s="10"/>
      <c r="S159">
        <f>ROUND(ТабCЕС[[#This Row],[Зелений Тариф ЕЦ]]+ТабCЕС[[#This Row],[Зелений Тариф ЕЦ]]*ТабCЕС[[#This Row],[% надбавки]],4)</f>
        <v>0.15029999999999999</v>
      </c>
      <c r="T159" s="8"/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0.308</v>
      </c>
      <c r="AV159">
        <v>0.46200000000000002</v>
      </c>
      <c r="AW159">
        <v>0.48899999999999999</v>
      </c>
      <c r="AX159">
        <v>0.55300000000000005</v>
      </c>
      <c r="AY159">
        <v>0.57699999999999996</v>
      </c>
      <c r="AZ159">
        <v>0.50600000000000001</v>
      </c>
    </row>
    <row r="160" spans="2:52" ht="25.5">
      <c r="C160" t="s">
        <v>58</v>
      </c>
      <c r="D160" t="s">
        <v>384</v>
      </c>
      <c r="F160" s="1" t="s">
        <v>807</v>
      </c>
      <c r="G160" s="1" t="s">
        <v>808</v>
      </c>
      <c r="H160" t="s">
        <v>98</v>
      </c>
      <c r="I160" t="s">
        <v>458</v>
      </c>
      <c r="J160" t="s">
        <v>782</v>
      </c>
      <c r="L160" s="7">
        <v>5.94</v>
      </c>
      <c r="M160" s="8">
        <v>43396</v>
      </c>
      <c r="N160">
        <v>10</v>
      </c>
      <c r="O160" t="s">
        <v>71</v>
      </c>
      <c r="P160">
        <v>2018</v>
      </c>
      <c r="Q160">
        <v>0.15029999999999999</v>
      </c>
      <c r="R160" s="10"/>
      <c r="S160">
        <f>ROUND(ТабCЕС[[#This Row],[Зелений Тариф ЕЦ]]+ТабCЕС[[#This Row],[Зелений Тариф ЕЦ]]*ТабCЕС[[#This Row],[% надбавки]],4)</f>
        <v>0.15029999999999999</v>
      </c>
      <c r="T160" s="8"/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0.122</v>
      </c>
      <c r="AS160">
        <v>0.184</v>
      </c>
      <c r="AT160">
        <v>0.76700000000000002</v>
      </c>
      <c r="AU160">
        <v>1.0680000000000001</v>
      </c>
      <c r="AV160">
        <v>1.538</v>
      </c>
      <c r="AW160">
        <v>1.282</v>
      </c>
      <c r="AX160">
        <v>1.929</v>
      </c>
      <c r="AY160">
        <v>1.732</v>
      </c>
      <c r="AZ160">
        <v>1.7569999999999999</v>
      </c>
    </row>
    <row r="161" spans="2:52" ht="25.5">
      <c r="C161" t="s">
        <v>58</v>
      </c>
      <c r="D161" t="s">
        <v>384</v>
      </c>
      <c r="F161" s="1" t="s">
        <v>807</v>
      </c>
      <c r="G161" s="1" t="s">
        <v>809</v>
      </c>
      <c r="H161" t="s">
        <v>98</v>
      </c>
      <c r="I161" t="s">
        <v>458</v>
      </c>
      <c r="J161" t="s">
        <v>782</v>
      </c>
      <c r="L161" s="7">
        <v>5.7969999999999997</v>
      </c>
      <c r="M161" s="8">
        <v>43417</v>
      </c>
      <c r="N161">
        <v>11</v>
      </c>
      <c r="O161" t="s">
        <v>71</v>
      </c>
      <c r="P161">
        <v>2018</v>
      </c>
      <c r="Q161">
        <v>0.15029999999999999</v>
      </c>
      <c r="R161" s="10"/>
      <c r="S161">
        <f>ROUND(ТабCЕС[[#This Row],[Зелений Тариф ЕЦ]]+ТабCЕС[[#This Row],[Зелений Тариф ЕЦ]]*ТабCЕС[[#This Row],[% надбавки]],4)</f>
        <v>0.15029999999999999</v>
      </c>
      <c r="T161" s="8"/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2:52">
      <c r="C162" t="s">
        <v>58</v>
      </c>
      <c r="D162" t="s">
        <v>384</v>
      </c>
      <c r="F162" s="1" t="s">
        <v>810</v>
      </c>
      <c r="G162" s="1" t="s">
        <v>811</v>
      </c>
      <c r="H162" t="s">
        <v>172</v>
      </c>
      <c r="I162" t="s">
        <v>812</v>
      </c>
      <c r="K162" t="s">
        <v>813</v>
      </c>
      <c r="L162" s="7">
        <v>4.1340000000000003</v>
      </c>
      <c r="M162" s="8">
        <v>43431</v>
      </c>
      <c r="N162">
        <v>11</v>
      </c>
      <c r="O162" t="s">
        <v>71</v>
      </c>
      <c r="P162">
        <v>2018</v>
      </c>
      <c r="Q162">
        <v>0.15029999999999999</v>
      </c>
      <c r="R162" s="10"/>
      <c r="S162">
        <f>ROUND(ТабCЕС[[#This Row],[Зелений Тариф ЕЦ]]+ТабCЕС[[#This Row],[Зелений Тариф ЕЦ]]*ТабCЕС[[#This Row],[% надбавки]],4)</f>
        <v>0.15029999999999999</v>
      </c>
      <c r="T162" s="8"/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3.6999999999999998E-2</v>
      </c>
      <c r="AS162">
        <v>4.2999999999999997E-2</v>
      </c>
      <c r="AT162">
        <v>0.222</v>
      </c>
      <c r="AU162">
        <v>0.371</v>
      </c>
      <c r="AV162">
        <v>0.54900000000000004</v>
      </c>
      <c r="AW162">
        <v>0.51300000000000001</v>
      </c>
      <c r="AX162">
        <v>0.70599999999999996</v>
      </c>
      <c r="AY162">
        <v>0.63800000000000001</v>
      </c>
      <c r="AZ162">
        <v>0.66800000000000004</v>
      </c>
    </row>
    <row r="163" spans="2:52">
      <c r="C163" t="s">
        <v>58</v>
      </c>
      <c r="D163" t="s">
        <v>384</v>
      </c>
      <c r="F163" s="1" t="s">
        <v>814</v>
      </c>
      <c r="G163" s="1" t="s">
        <v>815</v>
      </c>
      <c r="H163" t="s">
        <v>73</v>
      </c>
      <c r="I163" t="s">
        <v>284</v>
      </c>
      <c r="J163" t="s">
        <v>816</v>
      </c>
      <c r="K163" t="s">
        <v>817</v>
      </c>
      <c r="L163" s="7">
        <v>17.702000000000002</v>
      </c>
      <c r="M163" s="8">
        <v>43300</v>
      </c>
      <c r="N163">
        <v>7</v>
      </c>
      <c r="O163" t="s">
        <v>60</v>
      </c>
      <c r="P163">
        <v>2018</v>
      </c>
      <c r="Q163">
        <v>0.15029999999999999</v>
      </c>
      <c r="R163" s="10">
        <v>0.05</v>
      </c>
      <c r="S163">
        <f>ROUND(ТабCЕС[[#This Row],[Зелений Тариф ЕЦ]]+ТабCЕС[[#This Row],[Зелений Тариф ЕЦ]]*ТабCЕС[[#This Row],[% надбавки]],4)</f>
        <v>0.1578</v>
      </c>
      <c r="T163" s="8">
        <v>43431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0.39500000000000002</v>
      </c>
      <c r="AR163">
        <v>0.253</v>
      </c>
      <c r="AS163">
        <v>0.47399999999999998</v>
      </c>
      <c r="AT163">
        <v>0.91700000000000004</v>
      </c>
      <c r="AU163">
        <v>1.8939999999999999</v>
      </c>
      <c r="AV163">
        <v>2.1440000000000001</v>
      </c>
      <c r="AW163">
        <v>2.7170000000000001</v>
      </c>
      <c r="AX163">
        <v>2.766</v>
      </c>
      <c r="AY163">
        <v>2.8290000000000002</v>
      </c>
      <c r="AZ163">
        <v>2.9</v>
      </c>
    </row>
    <row r="164" spans="2:52">
      <c r="C164" t="s">
        <v>58</v>
      </c>
      <c r="D164" t="s">
        <v>384</v>
      </c>
      <c r="F164" s="1" t="s">
        <v>814</v>
      </c>
      <c r="G164" s="1" t="s">
        <v>818</v>
      </c>
      <c r="H164" t="s">
        <v>73</v>
      </c>
      <c r="I164" t="s">
        <v>284</v>
      </c>
      <c r="K164" t="s">
        <v>819</v>
      </c>
      <c r="L164" s="7">
        <v>11.478</v>
      </c>
      <c r="M164" s="8">
        <v>43312</v>
      </c>
      <c r="N164">
        <v>7</v>
      </c>
      <c r="O164" t="s">
        <v>60</v>
      </c>
      <c r="P164">
        <v>2018</v>
      </c>
      <c r="Q164">
        <v>0.15029999999999999</v>
      </c>
      <c r="R164" s="10">
        <v>0.05</v>
      </c>
      <c r="S164">
        <f>ROUND(ТабCЕС[[#This Row],[Зелений Тариф ЕЦ]]+ТабCЕС[[#This Row],[Зелений Тариф ЕЦ]]*ТабCЕС[[#This Row],[% надбавки]],4)</f>
        <v>0.1578</v>
      </c>
      <c r="T164" s="8">
        <v>43371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1.242</v>
      </c>
      <c r="AQ164">
        <v>0.44</v>
      </c>
      <c r="AR164">
        <v>0.13300000000000001</v>
      </c>
      <c r="AS164">
        <v>0.26400000000000001</v>
      </c>
      <c r="AT164">
        <v>0.59799999999999998</v>
      </c>
      <c r="AU164">
        <v>1.548</v>
      </c>
      <c r="AV164">
        <v>1.7889999999999999</v>
      </c>
      <c r="AW164">
        <v>1.8320000000000001</v>
      </c>
      <c r="AX164">
        <v>1.8169999999999999</v>
      </c>
      <c r="AY164">
        <v>1.9139999999999999</v>
      </c>
      <c r="AZ164">
        <v>1.621</v>
      </c>
    </row>
    <row r="165" spans="2:52">
      <c r="C165" t="s">
        <v>58</v>
      </c>
      <c r="D165" t="s">
        <v>384</v>
      </c>
      <c r="F165" s="1" t="s">
        <v>820</v>
      </c>
      <c r="G165" s="1" t="s">
        <v>384</v>
      </c>
      <c r="H165" t="s">
        <v>122</v>
      </c>
      <c r="I165" t="s">
        <v>821</v>
      </c>
      <c r="K165" t="s">
        <v>822</v>
      </c>
      <c r="L165" s="7">
        <v>1.4830000000000001</v>
      </c>
      <c r="M165" s="8">
        <v>42285</v>
      </c>
      <c r="N165">
        <v>10</v>
      </c>
      <c r="O165" t="s">
        <v>71</v>
      </c>
      <c r="P165">
        <v>2015</v>
      </c>
      <c r="Q165">
        <v>0.30530000000000002</v>
      </c>
      <c r="R165" s="10"/>
      <c r="S165">
        <f>ROUND(ТабCЕС[[#This Row],[Зелений Тариф ЕЦ]]+ТабCЕС[[#This Row],[Зелений Тариф ЕЦ]]*ТабCЕС[[#This Row],[% надбавки]],4)</f>
        <v>0.30530000000000002</v>
      </c>
      <c r="T165" s="8"/>
      <c r="U165">
        <v>5.8999999999999997E-2</v>
      </c>
      <c r="V165">
        <v>8.4999999999999992E-2</v>
      </c>
      <c r="W165">
        <v>0.17100000000000001</v>
      </c>
      <c r="X165">
        <v>0.188</v>
      </c>
      <c r="Y165">
        <v>0.25</v>
      </c>
      <c r="Z165">
        <v>0.25199999999999989</v>
      </c>
      <c r="AA165">
        <v>0.23400000000000021</v>
      </c>
      <c r="AB165">
        <v>0.22899999999999987</v>
      </c>
      <c r="AC165">
        <v>0.20500000000000007</v>
      </c>
      <c r="AD165">
        <v>8.0999999999999961E-2</v>
      </c>
      <c r="AE165">
        <v>3.8000000000000034E-2</v>
      </c>
      <c r="AF165">
        <v>2.2999999999999909E-2</v>
      </c>
      <c r="AG165">
        <v>3.5999999999999997E-2</v>
      </c>
      <c r="AH165">
        <v>6.0999999999999999E-2</v>
      </c>
      <c r="AI165">
        <v>0.13400000000000001</v>
      </c>
      <c r="AJ165">
        <v>0.224</v>
      </c>
      <c r="AK165">
        <v>0.254</v>
      </c>
      <c r="AL165">
        <v>0.24</v>
      </c>
      <c r="AM165">
        <v>0.22600000000000001</v>
      </c>
      <c r="AN165">
        <v>0.25800000000000001</v>
      </c>
      <c r="AO165">
        <v>0.16600000000000001</v>
      </c>
      <c r="AP165">
        <v>0.153</v>
      </c>
      <c r="AQ165">
        <v>6.8000000000000005E-2</v>
      </c>
      <c r="AR165">
        <v>1.2999999999999999E-2</v>
      </c>
      <c r="AS165">
        <v>3.7999999999999999E-2</v>
      </c>
      <c r="AT165">
        <v>6.5000000000000002E-2</v>
      </c>
      <c r="AU165">
        <v>0.155</v>
      </c>
      <c r="AV165">
        <v>0.20799999999999999</v>
      </c>
      <c r="AW165">
        <v>0.223</v>
      </c>
      <c r="AX165">
        <v>0.25</v>
      </c>
      <c r="AY165">
        <v>0.251</v>
      </c>
      <c r="AZ165">
        <v>0.22800000000000001</v>
      </c>
    </row>
    <row r="166" spans="2:52">
      <c r="C166" t="s">
        <v>58</v>
      </c>
      <c r="D166" t="s">
        <v>384</v>
      </c>
      <c r="F166" s="1" t="s">
        <v>820</v>
      </c>
      <c r="G166" s="1" t="s">
        <v>686</v>
      </c>
      <c r="H166" t="s">
        <v>122</v>
      </c>
      <c r="I166" t="s">
        <v>369</v>
      </c>
      <c r="K166" t="s">
        <v>823</v>
      </c>
      <c r="L166" s="7">
        <v>1.0029999999999999</v>
      </c>
      <c r="M166" s="8">
        <v>42999</v>
      </c>
      <c r="N166">
        <v>9</v>
      </c>
      <c r="O166" t="s">
        <v>60</v>
      </c>
      <c r="P166">
        <v>2017</v>
      </c>
      <c r="Q166">
        <v>0.15029999999999999</v>
      </c>
      <c r="R166" s="10"/>
      <c r="S166">
        <f>ROUND(ТабCЕС[[#This Row],[Зелений Тариф ЕЦ]]+ТабCЕС[[#This Row],[Зелений Тариф ЕЦ]]*ТабCЕС[[#This Row],[% надбавки]],4)</f>
        <v>0.15029999999999999</v>
      </c>
      <c r="T166" s="8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0.02</v>
      </c>
      <c r="AH166">
        <v>4.2999999999999997E-2</v>
      </c>
      <c r="AI166">
        <v>9.1999999999999998E-2</v>
      </c>
      <c r="AJ166">
        <v>0.153</v>
      </c>
      <c r="AK166">
        <v>0.17299999999999999</v>
      </c>
      <c r="AL166">
        <v>0.16</v>
      </c>
      <c r="AM166">
        <v>0.155</v>
      </c>
      <c r="AN166">
        <v>0.17499999999999999</v>
      </c>
      <c r="AO166">
        <v>0.112</v>
      </c>
      <c r="AP166">
        <v>0.104</v>
      </c>
      <c r="AQ166">
        <v>4.5999999999999999E-2</v>
      </c>
      <c r="AR166">
        <v>1.2E-2</v>
      </c>
      <c r="AS166">
        <v>2.5000000000000001E-2</v>
      </c>
      <c r="AT166">
        <v>4.8000000000000001E-2</v>
      </c>
      <c r="AU166">
        <v>0.112</v>
      </c>
      <c r="AV166">
        <v>0.151</v>
      </c>
      <c r="AW166">
        <v>0.161</v>
      </c>
      <c r="AX166">
        <v>0.18</v>
      </c>
      <c r="AY166">
        <v>0.18099999999999999</v>
      </c>
      <c r="AZ166">
        <v>0.16400000000000001</v>
      </c>
    </row>
    <row r="167" spans="2:52">
      <c r="C167" t="s">
        <v>58</v>
      </c>
      <c r="D167" t="s">
        <v>384</v>
      </c>
      <c r="F167" s="1" t="s">
        <v>820</v>
      </c>
      <c r="G167" s="1" t="s">
        <v>824</v>
      </c>
      <c r="H167" t="s">
        <v>122</v>
      </c>
      <c r="I167" t="s">
        <v>369</v>
      </c>
      <c r="K167" t="s">
        <v>825</v>
      </c>
      <c r="L167" s="7">
        <v>1.4970000000000001</v>
      </c>
      <c r="M167" s="8">
        <v>43692</v>
      </c>
      <c r="N167">
        <v>8</v>
      </c>
      <c r="O167" t="s">
        <v>60</v>
      </c>
      <c r="P167">
        <v>2019</v>
      </c>
      <c r="Q167">
        <v>0.15029999999999999</v>
      </c>
      <c r="R167" s="10"/>
      <c r="S167">
        <f>ROUND(ТабCЕС[[#This Row],[Зелений Тариф ЕЦ]]+ТабCЕС[[#This Row],[Зелений Тариф ЕЦ]]*ТабCЕС[[#This Row],[% надбавки]],4)</f>
        <v>0.15029999999999999</v>
      </c>
      <c r="T167" s="8"/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2:52">
      <c r="C168" t="s">
        <v>58</v>
      </c>
      <c r="D168" t="s">
        <v>384</v>
      </c>
      <c r="F168" s="1" t="s">
        <v>826</v>
      </c>
      <c r="G168" s="1" t="s">
        <v>384</v>
      </c>
      <c r="H168" t="s">
        <v>65</v>
      </c>
      <c r="I168" t="s">
        <v>247</v>
      </c>
      <c r="J168" t="s">
        <v>827</v>
      </c>
      <c r="K168" t="s">
        <v>828</v>
      </c>
      <c r="L168" s="7">
        <v>2.7410000000000001</v>
      </c>
      <c r="M168" s="8">
        <v>43613</v>
      </c>
      <c r="N168">
        <v>5</v>
      </c>
      <c r="O168" t="s">
        <v>57</v>
      </c>
      <c r="P168">
        <v>2019</v>
      </c>
      <c r="Q168">
        <v>0.15029999999999999</v>
      </c>
      <c r="R168" s="10"/>
      <c r="S168">
        <f>ROUND(ТабCЕС[[#This Row],[Зелений Тариф ЕЦ]]+ТабCЕС[[#This Row],[Зелений Тариф ЕЦ]]*ТабCЕС[[#This Row],[% надбавки]],4)</f>
        <v>0.15029999999999999</v>
      </c>
      <c r="T168" s="8"/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0.41599999999999998</v>
      </c>
      <c r="AY168">
        <v>0.42699999999999999</v>
      </c>
      <c r="AZ168">
        <v>0.40500000000000003</v>
      </c>
    </row>
    <row r="169" spans="2:52">
      <c r="C169" t="s">
        <v>58</v>
      </c>
      <c r="D169" t="s">
        <v>384</v>
      </c>
      <c r="F169" s="1" t="s">
        <v>829</v>
      </c>
      <c r="G169" s="1" t="s">
        <v>384</v>
      </c>
      <c r="H169" t="s">
        <v>65</v>
      </c>
      <c r="I169" t="s">
        <v>247</v>
      </c>
      <c r="J169" t="s">
        <v>827</v>
      </c>
      <c r="K169" t="s">
        <v>830</v>
      </c>
      <c r="L169" s="7">
        <v>7.1109999999999998</v>
      </c>
      <c r="M169" s="8">
        <v>43596</v>
      </c>
      <c r="N169">
        <v>5</v>
      </c>
      <c r="O169" t="s">
        <v>57</v>
      </c>
      <c r="P169">
        <v>2019</v>
      </c>
      <c r="Q169">
        <v>0.15029999999999999</v>
      </c>
      <c r="R169" s="10"/>
      <c r="S169">
        <f>ROUND(ТабCЕС[[#This Row],[Зелений Тариф ЕЦ]]+ТабCЕС[[#This Row],[Зелений Тариф ЕЦ]]*ТабCЕС[[#This Row],[% надбавки]],4)</f>
        <v>0.15029999999999999</v>
      </c>
      <c r="T169" s="8"/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1.0680000000000001</v>
      </c>
      <c r="AY169">
        <v>1.101</v>
      </c>
      <c r="AZ169">
        <v>1.0389999999999999</v>
      </c>
    </row>
    <row r="170" spans="2:52">
      <c r="C170" t="s">
        <v>58</v>
      </c>
      <c r="D170" t="s">
        <v>384</v>
      </c>
      <c r="F170" s="1" t="s">
        <v>831</v>
      </c>
      <c r="G170" s="1" t="s">
        <v>384</v>
      </c>
      <c r="H170" t="s">
        <v>122</v>
      </c>
      <c r="J170" t="s">
        <v>832</v>
      </c>
      <c r="K170" t="s">
        <v>833</v>
      </c>
      <c r="L170" s="7">
        <v>17.82</v>
      </c>
      <c r="M170" s="8">
        <v>43602</v>
      </c>
      <c r="N170">
        <v>5</v>
      </c>
      <c r="O170" t="s">
        <v>57</v>
      </c>
      <c r="P170">
        <v>2019</v>
      </c>
      <c r="Q170">
        <v>0.15029999999999999</v>
      </c>
      <c r="R170" s="10"/>
      <c r="S170">
        <f>ROUND(ТабCЕС[[#This Row],[Зелений Тариф ЕЦ]]+ТабCЕС[[#This Row],[Зелений Тариф ЕЦ]]*ТабCЕС[[#This Row],[% надбавки]],4)</f>
        <v>0.15029999999999999</v>
      </c>
      <c r="T170" s="8"/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2.7189999999999999</v>
      </c>
      <c r="AY170">
        <v>3.0920000000000001</v>
      </c>
      <c r="AZ170">
        <v>2.7749999999999999</v>
      </c>
    </row>
    <row r="171" spans="2:52">
      <c r="B171" t="s">
        <v>834</v>
      </c>
      <c r="C171">
        <v>36609124</v>
      </c>
      <c r="D171" t="s">
        <v>384</v>
      </c>
      <c r="F171" s="1" t="s">
        <v>835</v>
      </c>
      <c r="G171" s="1" t="s">
        <v>836</v>
      </c>
      <c r="H171" t="s">
        <v>233</v>
      </c>
      <c r="I171" t="s">
        <v>289</v>
      </c>
      <c r="J171" t="s">
        <v>837</v>
      </c>
      <c r="K171" t="s">
        <v>838</v>
      </c>
      <c r="L171" s="7">
        <v>6.8040000000000003</v>
      </c>
      <c r="M171" s="8">
        <v>42719</v>
      </c>
      <c r="N171">
        <v>12</v>
      </c>
      <c r="O171" t="s">
        <v>71</v>
      </c>
      <c r="P171">
        <v>2016</v>
      </c>
      <c r="Q171">
        <v>0.15989999999999999</v>
      </c>
      <c r="R171" s="10"/>
      <c r="S171">
        <f>ROUND(ТабCЕС[[#This Row],[Зелений Тариф ЕЦ]]+ТабCЕС[[#This Row],[Зелений Тариф ЕЦ]]*ТабCЕС[[#This Row],[% надбавки]],4)</f>
        <v>0.15989999999999999</v>
      </c>
      <c r="T171" s="8"/>
      <c r="U171">
        <v>0</v>
      </c>
      <c r="V171">
        <v>0</v>
      </c>
      <c r="W171">
        <v>0.77300000000000002</v>
      </c>
      <c r="X171">
        <v>0.77700000000000002</v>
      </c>
      <c r="Y171">
        <v>1.1129999999999998</v>
      </c>
      <c r="Z171">
        <v>1.024</v>
      </c>
      <c r="AA171">
        <v>1.1350000000000002</v>
      </c>
      <c r="AB171">
        <v>1.1040000000000001</v>
      </c>
      <c r="AC171">
        <v>0.73499999999999943</v>
      </c>
      <c r="AD171">
        <v>0.57200000000000006</v>
      </c>
      <c r="AE171">
        <v>0.29800000000000004</v>
      </c>
      <c r="AF171">
        <v>0.1120000000000001</v>
      </c>
      <c r="AG171">
        <v>0.22700000000000001</v>
      </c>
      <c r="AH171">
        <v>0.34799999999999998</v>
      </c>
      <c r="AI171">
        <v>0.497</v>
      </c>
      <c r="AJ171">
        <v>0.98199999999999998</v>
      </c>
      <c r="AK171">
        <v>1.1240000000000001</v>
      </c>
      <c r="AL171">
        <v>0.98599999999999999</v>
      </c>
      <c r="AM171">
        <v>1.03</v>
      </c>
      <c r="AN171">
        <v>1.113</v>
      </c>
      <c r="AO171">
        <v>0.90900000000000003</v>
      </c>
      <c r="AP171">
        <v>0.66400000000000003</v>
      </c>
      <c r="AQ171">
        <v>0.34599999999999997</v>
      </c>
      <c r="AR171">
        <v>9.8000000000000004E-2</v>
      </c>
      <c r="AS171">
        <v>0.14799999999999999</v>
      </c>
      <c r="AT171">
        <v>0.495</v>
      </c>
      <c r="AU171">
        <v>0.82399999999999995</v>
      </c>
      <c r="AV171">
        <v>0.92600000000000005</v>
      </c>
      <c r="AW171">
        <v>0.79300000000000004</v>
      </c>
      <c r="AX171">
        <v>1.133</v>
      </c>
      <c r="AY171">
        <v>1.054</v>
      </c>
      <c r="AZ171">
        <v>1.0580000000000001</v>
      </c>
    </row>
    <row r="172" spans="2:52">
      <c r="B172" t="s">
        <v>839</v>
      </c>
      <c r="C172">
        <v>36609124</v>
      </c>
      <c r="D172" t="s">
        <v>384</v>
      </c>
      <c r="F172" s="1" t="s">
        <v>835</v>
      </c>
      <c r="G172" s="1" t="s">
        <v>559</v>
      </c>
      <c r="H172" t="s">
        <v>233</v>
      </c>
      <c r="I172" t="s">
        <v>289</v>
      </c>
      <c r="J172" t="s">
        <v>837</v>
      </c>
      <c r="K172" t="s">
        <v>838</v>
      </c>
      <c r="L172" s="7">
        <v>2.2679999999999998</v>
      </c>
      <c r="M172" s="8">
        <v>42850</v>
      </c>
      <c r="N172">
        <v>4</v>
      </c>
      <c r="O172" t="s">
        <v>57</v>
      </c>
      <c r="P172">
        <v>2017</v>
      </c>
      <c r="Q172">
        <v>0.15029999999999999</v>
      </c>
      <c r="R172" s="10"/>
      <c r="S172">
        <f>ROUND(ТабCЕС[[#This Row],[Зелений Тариф ЕЦ]]+ТабCЕС[[#This Row],[Зелений Тариф ЕЦ]]*ТабCЕС[[#This Row],[% надбавки]],4)</f>
        <v>0.15029999999999999</v>
      </c>
      <c r="T172" s="8"/>
      <c r="U172">
        <v>0</v>
      </c>
      <c r="V172">
        <v>0</v>
      </c>
      <c r="W172">
        <v>0</v>
      </c>
      <c r="X172">
        <v>0</v>
      </c>
      <c r="Y172">
        <v>0.373</v>
      </c>
      <c r="Z172">
        <v>0.35599999999999998</v>
      </c>
      <c r="AA172">
        <v>1.1469999999999998</v>
      </c>
      <c r="AB172">
        <v>1.149</v>
      </c>
      <c r="AC172">
        <v>0.80699999999999994</v>
      </c>
      <c r="AD172">
        <v>0.76799999999999979</v>
      </c>
      <c r="AE172">
        <v>0.42600000000000016</v>
      </c>
      <c r="AF172">
        <v>0.14700000000000024</v>
      </c>
      <c r="AG172">
        <v>0.41499999999999998</v>
      </c>
      <c r="AH172">
        <v>0.59799999999999998</v>
      </c>
      <c r="AI172">
        <v>0.89600000000000002</v>
      </c>
      <c r="AJ172">
        <v>2.1240000000000001</v>
      </c>
      <c r="AK172">
        <v>2.4209999999999998</v>
      </c>
      <c r="AL172">
        <v>2.1379999999999999</v>
      </c>
      <c r="AM172">
        <v>2.2210000000000001</v>
      </c>
      <c r="AN172">
        <v>2.395</v>
      </c>
      <c r="AO172">
        <v>1.958</v>
      </c>
      <c r="AP172">
        <v>1.4419999999999999</v>
      </c>
      <c r="AQ172">
        <v>0.76200000000000001</v>
      </c>
      <c r="AR172">
        <v>0.219</v>
      </c>
      <c r="AS172">
        <v>0.38300000000000001</v>
      </c>
      <c r="AT172">
        <v>1.0649999999999999</v>
      </c>
      <c r="AU172">
        <v>1.778</v>
      </c>
      <c r="AV172">
        <v>2.0019999999999998</v>
      </c>
      <c r="AW172">
        <v>1.706</v>
      </c>
      <c r="AX172">
        <v>2.4449999999999998</v>
      </c>
      <c r="AY172">
        <v>2.2810000000000001</v>
      </c>
      <c r="AZ172">
        <v>2.31</v>
      </c>
    </row>
    <row r="173" spans="2:52">
      <c r="B173" t="s">
        <v>839</v>
      </c>
      <c r="C173">
        <v>36609124</v>
      </c>
      <c r="D173" t="s">
        <v>384</v>
      </c>
      <c r="F173" s="1" t="s">
        <v>835</v>
      </c>
      <c r="G173" s="1" t="s">
        <v>840</v>
      </c>
      <c r="H173" t="s">
        <v>233</v>
      </c>
      <c r="I173" t="s">
        <v>289</v>
      </c>
      <c r="J173" t="s">
        <v>837</v>
      </c>
      <c r="K173" t="s">
        <v>838</v>
      </c>
      <c r="L173" s="7">
        <v>4.5359999999999996</v>
      </c>
      <c r="M173" s="8">
        <v>42905</v>
      </c>
      <c r="N173">
        <v>6</v>
      </c>
      <c r="O173" t="s">
        <v>57</v>
      </c>
      <c r="P173">
        <v>2017</v>
      </c>
      <c r="Q173">
        <v>0.15029999999999999</v>
      </c>
      <c r="R173" s="10"/>
      <c r="S173">
        <f>ROUND(ТабCЕС[[#This Row],[Зелений Тариф ЕЦ]]+ТабCЕС[[#This Row],[Зелений Тариф ЕЦ]]*ТабCЕС[[#This Row],[% надбавки]],4)</f>
        <v>0.15029999999999999</v>
      </c>
      <c r="T173" s="8"/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2:52">
      <c r="B174" t="s">
        <v>839</v>
      </c>
      <c r="C174">
        <v>36609124</v>
      </c>
      <c r="D174" t="s">
        <v>384</v>
      </c>
      <c r="F174" s="1" t="s">
        <v>835</v>
      </c>
      <c r="G174" s="1" t="s">
        <v>841</v>
      </c>
      <c r="H174" t="s">
        <v>233</v>
      </c>
      <c r="I174" t="s">
        <v>289</v>
      </c>
      <c r="J174" t="s">
        <v>837</v>
      </c>
      <c r="K174" t="s">
        <v>838</v>
      </c>
      <c r="L174" s="7">
        <v>2.2679999999999998</v>
      </c>
      <c r="M174" s="8">
        <v>42999</v>
      </c>
      <c r="N174">
        <v>9</v>
      </c>
      <c r="O174" t="s">
        <v>60</v>
      </c>
      <c r="P174">
        <v>2017</v>
      </c>
      <c r="Q174">
        <v>0.15029999999999999</v>
      </c>
      <c r="R174" s="10"/>
      <c r="S174">
        <f>ROUND(ТабCЕС[[#This Row],[Зелений Тариф ЕЦ]]+ТабCЕС[[#This Row],[Зелений Тариф ЕЦ]]*ТабCЕС[[#This Row],[% надбавки]],4)</f>
        <v>0.15029999999999999</v>
      </c>
      <c r="T174" s="8"/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2:52">
      <c r="B175" t="s">
        <v>839</v>
      </c>
      <c r="C175">
        <v>36609124</v>
      </c>
      <c r="D175" t="s">
        <v>384</v>
      </c>
      <c r="F175" s="1" t="s">
        <v>835</v>
      </c>
      <c r="G175" s="1" t="s">
        <v>842</v>
      </c>
      <c r="H175" t="s">
        <v>233</v>
      </c>
      <c r="I175" t="s">
        <v>289</v>
      </c>
      <c r="J175" t="s">
        <v>837</v>
      </c>
      <c r="K175" t="s">
        <v>838</v>
      </c>
      <c r="L175" s="7">
        <v>2.2679999999999998</v>
      </c>
      <c r="M175" s="8">
        <v>43096</v>
      </c>
      <c r="N175">
        <v>12</v>
      </c>
      <c r="O175" t="s">
        <v>71</v>
      </c>
      <c r="P175">
        <v>2017</v>
      </c>
      <c r="Q175">
        <v>0.15029999999999999</v>
      </c>
      <c r="R175" s="10"/>
      <c r="S175">
        <f>ROUND(ТабCЕС[[#This Row],[Зелений Тариф ЕЦ]]+ТабCЕС[[#This Row],[Зелений Тариф ЕЦ]]*ТабCЕС[[#This Row],[% надбавки]],4)</f>
        <v>0.15029999999999999</v>
      </c>
      <c r="T175" s="8"/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2:52">
      <c r="B176" t="s">
        <v>839</v>
      </c>
      <c r="C176">
        <v>36609124</v>
      </c>
      <c r="D176" t="s">
        <v>384</v>
      </c>
      <c r="F176" s="1" t="s">
        <v>835</v>
      </c>
      <c r="G176" s="1" t="s">
        <v>843</v>
      </c>
      <c r="H176" t="s">
        <v>233</v>
      </c>
      <c r="I176" t="s">
        <v>289</v>
      </c>
      <c r="J176" t="s">
        <v>837</v>
      </c>
      <c r="K176" t="s">
        <v>838</v>
      </c>
      <c r="L176" s="7">
        <v>3.3340000000000001</v>
      </c>
      <c r="M176" s="8">
        <v>43182</v>
      </c>
      <c r="N176">
        <v>3</v>
      </c>
      <c r="O176" t="s">
        <v>67</v>
      </c>
      <c r="P176">
        <v>2018</v>
      </c>
      <c r="Q176">
        <v>0.15029999999999999</v>
      </c>
      <c r="R176" s="10"/>
      <c r="S176">
        <f>ROUND(ТабCЕС[[#This Row],[Зелений Тариф ЕЦ]]+ТабCЕС[[#This Row],[Зелений Тариф ЕЦ]]*ТабCЕС[[#This Row],[% надбавки]],4)</f>
        <v>0.15029999999999999</v>
      </c>
      <c r="T176" s="8"/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2:52">
      <c r="B177" t="s">
        <v>844</v>
      </c>
      <c r="C177">
        <v>38135183</v>
      </c>
      <c r="D177" t="s">
        <v>384</v>
      </c>
      <c r="F177" s="1" t="s">
        <v>845</v>
      </c>
      <c r="G177" s="1" t="s">
        <v>384</v>
      </c>
      <c r="H177" t="s">
        <v>198</v>
      </c>
      <c r="I177" t="s">
        <v>516</v>
      </c>
      <c r="J177" t="s">
        <v>692</v>
      </c>
      <c r="K177" t="s">
        <v>846</v>
      </c>
      <c r="L177" s="7">
        <v>1</v>
      </c>
      <c r="M177" s="8">
        <v>41270</v>
      </c>
      <c r="N177">
        <v>12</v>
      </c>
      <c r="O177" t="s">
        <v>71</v>
      </c>
      <c r="P177">
        <v>2012</v>
      </c>
      <c r="Q177">
        <v>0.46529999999999999</v>
      </c>
      <c r="R177" s="10"/>
      <c r="S177">
        <f>ROUND(ТабCЕС[[#This Row],[Зелений Тариф ЕЦ]]+ТабCЕС[[#This Row],[Зелений Тариф ЕЦ]]*ТабCЕС[[#This Row],[% надбавки]],4)</f>
        <v>0.46529999999999999</v>
      </c>
      <c r="T177" s="8"/>
      <c r="U177">
        <v>3.7999999999999999E-2</v>
      </c>
      <c r="V177">
        <v>5.2999999999999999E-2</v>
      </c>
      <c r="W177">
        <v>0.10800000000000001</v>
      </c>
      <c r="X177">
        <v>0.14400000000000002</v>
      </c>
      <c r="Y177">
        <v>0.15899999999999997</v>
      </c>
      <c r="Z177">
        <v>0.17000000000000004</v>
      </c>
      <c r="AA177">
        <v>0.15699999999999992</v>
      </c>
      <c r="AB177">
        <v>0.15700000000000003</v>
      </c>
      <c r="AC177">
        <v>0.1160000000000001</v>
      </c>
      <c r="AD177">
        <v>6.999999999999984E-2</v>
      </c>
      <c r="AE177">
        <v>2.6000000000000023E-2</v>
      </c>
      <c r="AF177">
        <v>1.8000000000000016E-2</v>
      </c>
      <c r="AG177">
        <v>3.3000000000000002E-2</v>
      </c>
      <c r="AH177">
        <v>4.3999999999999997E-2</v>
      </c>
      <c r="AI177">
        <v>8.5999999999999993E-2</v>
      </c>
      <c r="AJ177">
        <v>0.159</v>
      </c>
      <c r="AK177">
        <v>0.16700000000000001</v>
      </c>
      <c r="AL177">
        <v>0.14099999999999999</v>
      </c>
      <c r="AM177">
        <v>0.14599999999999999</v>
      </c>
      <c r="AN177">
        <v>0.16400000000000001</v>
      </c>
      <c r="AO177">
        <v>0.113</v>
      </c>
      <c r="AP177">
        <v>0.107</v>
      </c>
      <c r="AQ177">
        <v>2.3E-2</v>
      </c>
      <c r="AR177">
        <v>1.0999999999999999E-2</v>
      </c>
      <c r="AS177">
        <v>1.4999999999999999E-2</v>
      </c>
      <c r="AT177">
        <v>4.7E-2</v>
      </c>
      <c r="AU177">
        <v>0.105</v>
      </c>
      <c r="AV177">
        <v>0.1</v>
      </c>
      <c r="AW177">
        <v>0.127</v>
      </c>
      <c r="AX177">
        <v>0.14899999999999999</v>
      </c>
      <c r="AY177">
        <v>0.154</v>
      </c>
      <c r="AZ177">
        <v>0.151</v>
      </c>
    </row>
    <row r="178" spans="2:52">
      <c r="B178" t="s">
        <v>847</v>
      </c>
      <c r="C178">
        <v>37610502</v>
      </c>
      <c r="D178" t="s">
        <v>384</v>
      </c>
      <c r="F178" s="1" t="s">
        <v>848</v>
      </c>
      <c r="G178" s="1" t="s">
        <v>384</v>
      </c>
      <c r="H178" t="s">
        <v>198</v>
      </c>
      <c r="I178" t="s">
        <v>516</v>
      </c>
      <c r="K178" t="s">
        <v>849</v>
      </c>
      <c r="L178" s="7">
        <v>0.5</v>
      </c>
      <c r="M178" s="8">
        <v>42698</v>
      </c>
      <c r="N178">
        <v>11</v>
      </c>
      <c r="O178" t="s">
        <v>71</v>
      </c>
      <c r="P178">
        <v>2016</v>
      </c>
      <c r="Q178">
        <v>0.15989999999999999</v>
      </c>
      <c r="R178" s="10"/>
      <c r="S178">
        <f>ROUND(ТабCЕС[[#This Row],[Зелений Тариф ЕЦ]]+ТабCЕС[[#This Row],[Зелений Тариф ЕЦ]]*ТабCЕС[[#This Row],[% надбавки]],4)</f>
        <v>0.15989999999999999</v>
      </c>
      <c r="T178" s="8"/>
      <c r="U178">
        <v>0</v>
      </c>
      <c r="V178">
        <v>0</v>
      </c>
      <c r="W178">
        <v>0.05</v>
      </c>
      <c r="X178">
        <v>6.9999999999999993E-2</v>
      </c>
      <c r="Y178">
        <v>7.400000000000001E-2</v>
      </c>
      <c r="Z178">
        <v>7.9000000000000015E-2</v>
      </c>
      <c r="AA178">
        <v>7.999999999999996E-2</v>
      </c>
      <c r="AB178">
        <v>7.9000000000000015E-2</v>
      </c>
      <c r="AC178">
        <v>7.0000000000000007E-2</v>
      </c>
      <c r="AD178">
        <v>4.500000000000004E-2</v>
      </c>
      <c r="AE178">
        <v>1.3000000000000012E-2</v>
      </c>
      <c r="AF178">
        <v>1.19999999999999E-2</v>
      </c>
      <c r="AG178">
        <v>2.5000000000000001E-2</v>
      </c>
      <c r="AH178">
        <v>2.8000000000000001E-2</v>
      </c>
      <c r="AI178">
        <v>5.5E-2</v>
      </c>
      <c r="AJ178">
        <v>9.8000000000000004E-2</v>
      </c>
      <c r="AK178">
        <v>0.10100000000000001</v>
      </c>
      <c r="AL178">
        <v>8.2000000000000003E-2</v>
      </c>
      <c r="AM178">
        <v>9.0999999999999998E-2</v>
      </c>
      <c r="AN178">
        <v>0.10199999999999999</v>
      </c>
      <c r="AO178">
        <v>7.0000000000000007E-2</v>
      </c>
      <c r="AP178">
        <v>5.8000000000000003E-2</v>
      </c>
      <c r="AQ178">
        <v>4.9000000000000002E-2</v>
      </c>
      <c r="AR178">
        <v>1.7000000000000001E-2</v>
      </c>
      <c r="AS178">
        <v>1.2999999999999999E-2</v>
      </c>
      <c r="AT178">
        <v>2.5000000000000001E-2</v>
      </c>
      <c r="AU178">
        <v>0.06</v>
      </c>
      <c r="AV178">
        <v>7.5999999999999998E-2</v>
      </c>
      <c r="AW178">
        <v>7.6999999999999999E-2</v>
      </c>
      <c r="AX178">
        <v>9.9000000000000005E-2</v>
      </c>
      <c r="AY178">
        <v>7.0999999999999994E-2</v>
      </c>
      <c r="AZ178">
        <v>9.6000000000000002E-2</v>
      </c>
    </row>
    <row r="179" spans="2:52">
      <c r="B179" t="s">
        <v>850</v>
      </c>
      <c r="C179">
        <v>37610502</v>
      </c>
      <c r="D179" t="s">
        <v>384</v>
      </c>
      <c r="F179" s="1" t="s">
        <v>848</v>
      </c>
      <c r="G179" s="1" t="s">
        <v>384</v>
      </c>
      <c r="H179" t="s">
        <v>198</v>
      </c>
      <c r="I179" t="s">
        <v>516</v>
      </c>
      <c r="J179" t="s">
        <v>851</v>
      </c>
      <c r="K179" t="s">
        <v>852</v>
      </c>
      <c r="L179" s="7">
        <v>1.296</v>
      </c>
      <c r="M179" s="8">
        <v>43403</v>
      </c>
      <c r="N179">
        <v>10</v>
      </c>
      <c r="O179" t="s">
        <v>71</v>
      </c>
      <c r="P179">
        <v>2018</v>
      </c>
      <c r="Q179">
        <v>0.15029999999999999</v>
      </c>
      <c r="R179" s="10"/>
      <c r="S179">
        <f>ROUND(ТабCЕС[[#This Row],[Зелений Тариф ЕЦ]]+ТабCЕС[[#This Row],[Зелений Тариф ЕЦ]]*ТабCЕС[[#This Row],[% надбавки]],4)</f>
        <v>0.15029999999999999</v>
      </c>
      <c r="T179" s="8"/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2.5999999999999999E-2</v>
      </c>
      <c r="AT179">
        <v>5.3999999999999999E-2</v>
      </c>
      <c r="AU179">
        <v>0.129</v>
      </c>
      <c r="AV179">
        <v>0.16500000000000001</v>
      </c>
      <c r="AW179">
        <v>0.16200000000000001</v>
      </c>
      <c r="AX179">
        <v>0.20899999999999999</v>
      </c>
      <c r="AY179">
        <v>0.151</v>
      </c>
      <c r="AZ179">
        <v>0.20399999999999999</v>
      </c>
    </row>
    <row r="180" spans="2:52">
      <c r="C180" t="s">
        <v>58</v>
      </c>
      <c r="D180" t="s">
        <v>384</v>
      </c>
      <c r="F180" s="1" t="s">
        <v>853</v>
      </c>
      <c r="G180" s="1" t="s">
        <v>384</v>
      </c>
      <c r="H180" t="s">
        <v>65</v>
      </c>
      <c r="I180" t="s">
        <v>854</v>
      </c>
      <c r="J180" t="s">
        <v>855</v>
      </c>
      <c r="K180" t="s">
        <v>856</v>
      </c>
      <c r="L180" s="7">
        <v>1.3819999999999999</v>
      </c>
      <c r="M180" s="8">
        <v>43605</v>
      </c>
      <c r="N180">
        <v>5</v>
      </c>
      <c r="O180" t="s">
        <v>57</v>
      </c>
      <c r="P180">
        <v>2019</v>
      </c>
      <c r="Q180">
        <v>0.15029999999999999</v>
      </c>
      <c r="R180" s="10"/>
      <c r="S180">
        <f>ROUND(ТабCЕС[[#This Row],[Зелений Тариф ЕЦ]]+ТабCЕС[[#This Row],[Зелений Тариф ЕЦ]]*ТабCЕС[[#This Row],[% надбавки]],4)</f>
        <v>0.15029999999999999</v>
      </c>
      <c r="T180" s="8"/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0.16500000000000001</v>
      </c>
      <c r="AX180">
        <v>0.221</v>
      </c>
      <c r="AY180">
        <v>0.219</v>
      </c>
      <c r="AZ180">
        <v>0.21</v>
      </c>
    </row>
    <row r="181" spans="2:52">
      <c r="C181" t="s">
        <v>58</v>
      </c>
      <c r="D181" t="s">
        <v>384</v>
      </c>
      <c r="F181" s="1" t="s">
        <v>857</v>
      </c>
      <c r="G181" s="1" t="s">
        <v>384</v>
      </c>
      <c r="H181" t="s">
        <v>65</v>
      </c>
      <c r="K181" t="s">
        <v>858</v>
      </c>
      <c r="L181" s="7">
        <v>4.5</v>
      </c>
      <c r="M181" s="8">
        <v>43158</v>
      </c>
      <c r="N181">
        <v>2</v>
      </c>
      <c r="O181" t="s">
        <v>67</v>
      </c>
      <c r="P181">
        <v>2018</v>
      </c>
      <c r="Q181">
        <v>0.15029999999999999</v>
      </c>
      <c r="R181" s="10"/>
      <c r="S181">
        <f>ROUND(ТабCЕС[[#This Row],[Зелений Тариф ЕЦ]]+ТабCЕС[[#This Row],[Зелений Тариф ЕЦ]]*ТабCЕС[[#This Row],[% надбавки]],4)</f>
        <v>0.15029999999999999</v>
      </c>
      <c r="T181" s="8"/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0.621</v>
      </c>
      <c r="AK181">
        <v>0.66700000000000004</v>
      </c>
      <c r="AL181">
        <v>0.45100000000000001</v>
      </c>
      <c r="AM181">
        <v>0.497</v>
      </c>
      <c r="AN181">
        <v>0.61099999999999999</v>
      </c>
      <c r="AO181">
        <v>0.504</v>
      </c>
      <c r="AP181">
        <v>0.45500000000000002</v>
      </c>
      <c r="AQ181">
        <v>0.17499999999999999</v>
      </c>
      <c r="AR181">
        <v>7.0999999999999994E-2</v>
      </c>
      <c r="AS181">
        <v>4.5999999999999999E-2</v>
      </c>
      <c r="AT181">
        <v>0.29299999999999998</v>
      </c>
      <c r="AU181">
        <v>0.48699999999999999</v>
      </c>
      <c r="AV181">
        <v>0.51800000000000002</v>
      </c>
      <c r="AW181">
        <v>0.443</v>
      </c>
      <c r="AX181">
        <v>0.64</v>
      </c>
      <c r="AY181">
        <v>0.66</v>
      </c>
      <c r="AZ181">
        <v>0.60899999999999999</v>
      </c>
    </row>
    <row r="182" spans="2:52">
      <c r="C182" t="s">
        <v>58</v>
      </c>
      <c r="D182" t="s">
        <v>384</v>
      </c>
      <c r="F182" s="1" t="s">
        <v>859</v>
      </c>
      <c r="G182" s="1" t="s">
        <v>384</v>
      </c>
      <c r="H182" t="s">
        <v>107</v>
      </c>
      <c r="K182" t="s">
        <v>860</v>
      </c>
      <c r="L182" s="7">
        <v>2.0390000000000001</v>
      </c>
      <c r="M182" s="8">
        <v>43277</v>
      </c>
      <c r="N182">
        <v>6</v>
      </c>
      <c r="O182" t="s">
        <v>57</v>
      </c>
      <c r="P182">
        <v>2018</v>
      </c>
      <c r="Q182">
        <v>0.15029999999999999</v>
      </c>
      <c r="R182" s="10"/>
      <c r="S182">
        <f>ROUND(ТабCЕС[[#This Row],[Зелений Тариф ЕЦ]]+ТабCЕС[[#This Row],[Зелений Тариф ЕЦ]]*ТабCЕС[[#This Row],[% надбавки]],4)</f>
        <v>0.15029999999999999</v>
      </c>
      <c r="T182" s="8"/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0.20599999999999999</v>
      </c>
      <c r="AP182">
        <v>0.19500000000000001</v>
      </c>
      <c r="AQ182">
        <v>7.2999999999999995E-2</v>
      </c>
      <c r="AR182">
        <v>8.0000000000000002E-3</v>
      </c>
      <c r="AS182">
        <v>4.1000000000000002E-2</v>
      </c>
      <c r="AT182">
        <v>0.109</v>
      </c>
      <c r="AU182">
        <v>0.20799999999999999</v>
      </c>
      <c r="AV182">
        <v>0.28699999999999998</v>
      </c>
      <c r="AW182">
        <v>0.22700000000000001</v>
      </c>
      <c r="AX182">
        <v>0.40200000000000002</v>
      </c>
      <c r="AY182">
        <v>0.38200000000000001</v>
      </c>
      <c r="AZ182">
        <v>0.313</v>
      </c>
    </row>
    <row r="183" spans="2:52">
      <c r="C183" t="s">
        <v>58</v>
      </c>
      <c r="D183" t="s">
        <v>384</v>
      </c>
      <c r="F183" s="1" t="s">
        <v>861</v>
      </c>
      <c r="G183" s="1" t="s">
        <v>384</v>
      </c>
      <c r="H183" t="s">
        <v>82</v>
      </c>
      <c r="K183" t="s">
        <v>862</v>
      </c>
      <c r="L183" s="7">
        <v>15.741</v>
      </c>
      <c r="M183" s="8">
        <v>43511</v>
      </c>
      <c r="N183">
        <v>2</v>
      </c>
      <c r="O183" t="s">
        <v>67</v>
      </c>
      <c r="P183">
        <v>2019</v>
      </c>
      <c r="Q183">
        <v>0.15029999999999999</v>
      </c>
      <c r="R183" s="10"/>
      <c r="S183">
        <f>ROUND(ТабCЕС[[#This Row],[Зелений Тариф ЕЦ]]+ТабCЕС[[#This Row],[Зелений Тариф ЕЦ]]*ТабCЕС[[#This Row],[% надбавки]],4)</f>
        <v>0.15029999999999999</v>
      </c>
      <c r="T183" s="8"/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1.8640000000000001</v>
      </c>
      <c r="AV183">
        <v>2.2320000000000002</v>
      </c>
      <c r="AW183">
        <v>2.2719999999999998</v>
      </c>
      <c r="AX183">
        <v>2.5219999999999998</v>
      </c>
      <c r="AY183">
        <v>2.3839999999999999</v>
      </c>
      <c r="AZ183">
        <v>2.5059999999999998</v>
      </c>
    </row>
    <row r="184" spans="2:52">
      <c r="B184" t="s">
        <v>863</v>
      </c>
      <c r="C184">
        <v>40661426</v>
      </c>
      <c r="D184" t="s">
        <v>384</v>
      </c>
      <c r="F184" s="1" t="s">
        <v>864</v>
      </c>
      <c r="G184" s="1" t="s">
        <v>865</v>
      </c>
      <c r="H184" t="s">
        <v>233</v>
      </c>
      <c r="I184" t="s">
        <v>289</v>
      </c>
      <c r="K184" t="s">
        <v>866</v>
      </c>
      <c r="L184" s="7">
        <v>3.4550000000000001</v>
      </c>
      <c r="M184" s="8">
        <v>42740</v>
      </c>
      <c r="N184">
        <v>1</v>
      </c>
      <c r="O184" t="s">
        <v>67</v>
      </c>
      <c r="P184">
        <v>2017</v>
      </c>
      <c r="Q184">
        <v>0.15989999999999999</v>
      </c>
      <c r="R184" s="10"/>
      <c r="S184">
        <f>ROUND(ТабCЕС[[#This Row],[Зелений Тариф ЕЦ]]+ТабCЕС[[#This Row],[Зелений Тариф ЕЦ]]*ТабCЕС[[#This Row],[% надбавки]],4)</f>
        <v>0.15989999999999999</v>
      </c>
      <c r="T184" s="8"/>
      <c r="U184">
        <v>1.7000000000000001E-2</v>
      </c>
      <c r="V184">
        <v>0.14200000000000002</v>
      </c>
      <c r="W184">
        <v>0.33499999999999996</v>
      </c>
      <c r="X184">
        <v>0.33599999999999997</v>
      </c>
      <c r="Y184">
        <v>0.53600000000000014</v>
      </c>
      <c r="Z184">
        <v>0.5279999999999998</v>
      </c>
      <c r="AA184">
        <v>0.55099999999999993</v>
      </c>
      <c r="AB184">
        <v>0.57699999999999996</v>
      </c>
      <c r="AC184">
        <v>0.36699999999999999</v>
      </c>
      <c r="AD184">
        <v>0.27700000000000014</v>
      </c>
      <c r="AE184">
        <v>0.14700000000000024</v>
      </c>
      <c r="AF184">
        <v>3.6999999999999922E-2</v>
      </c>
      <c r="AG184">
        <v>0.10299999999999999</v>
      </c>
      <c r="AH184">
        <v>0.187</v>
      </c>
      <c r="AI184">
        <v>0.252</v>
      </c>
      <c r="AJ184">
        <v>0.49299999999999999</v>
      </c>
      <c r="AK184">
        <v>0.58299999999999996</v>
      </c>
      <c r="AL184">
        <v>0.503</v>
      </c>
      <c r="AM184">
        <v>0.52900000000000003</v>
      </c>
      <c r="AN184">
        <v>0.55100000000000005</v>
      </c>
      <c r="AO184">
        <v>0.42299999999999999</v>
      </c>
      <c r="AP184">
        <v>0.33600000000000002</v>
      </c>
      <c r="AQ184">
        <v>0.19800000000000001</v>
      </c>
      <c r="AR184">
        <v>5.1999999999999998E-2</v>
      </c>
      <c r="AS184">
        <v>2.7E-2</v>
      </c>
      <c r="AT184">
        <v>0.23499999999999999</v>
      </c>
      <c r="AU184">
        <v>0.38800000000000001</v>
      </c>
      <c r="AV184">
        <v>0.505</v>
      </c>
      <c r="AW184">
        <v>0.34899999999999998</v>
      </c>
      <c r="AX184">
        <v>0.57199999999999995</v>
      </c>
      <c r="AY184">
        <v>0.54100000000000004</v>
      </c>
      <c r="AZ184">
        <v>0.52700000000000002</v>
      </c>
    </row>
    <row r="185" spans="2:52">
      <c r="B185" t="s">
        <v>867</v>
      </c>
      <c r="C185">
        <v>40661426</v>
      </c>
      <c r="D185" t="s">
        <v>384</v>
      </c>
      <c r="F185" s="1" t="s">
        <v>864</v>
      </c>
      <c r="G185" s="1" t="s">
        <v>868</v>
      </c>
      <c r="H185" t="s">
        <v>233</v>
      </c>
      <c r="I185" t="s">
        <v>404</v>
      </c>
      <c r="J185" t="s">
        <v>405</v>
      </c>
      <c r="K185" t="s">
        <v>869</v>
      </c>
      <c r="L185" s="7">
        <v>5.3129999999999997</v>
      </c>
      <c r="M185" s="8">
        <v>43490</v>
      </c>
      <c r="N185">
        <v>1</v>
      </c>
      <c r="O185" t="s">
        <v>67</v>
      </c>
      <c r="P185">
        <v>2019</v>
      </c>
      <c r="Q185">
        <v>0.15029999999999999</v>
      </c>
      <c r="R185" s="10"/>
      <c r="S185">
        <f>ROUND(ТабCЕС[[#This Row],[Зелений Тариф ЕЦ]]+ТабCЕС[[#This Row],[Зелений Тариф ЕЦ]]*ТабCЕС[[#This Row],[% надбавки]],4)</f>
        <v>0.15029999999999999</v>
      </c>
      <c r="T185" s="8"/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4.5999999999999999E-2</v>
      </c>
      <c r="AT185">
        <v>0.36099999999999999</v>
      </c>
      <c r="AU185">
        <v>0.59799999999999998</v>
      </c>
      <c r="AV185">
        <v>0.48299999999999998</v>
      </c>
      <c r="AW185">
        <v>0.52200000000000002</v>
      </c>
      <c r="AX185">
        <v>0.92900000000000005</v>
      </c>
      <c r="AY185">
        <v>0.86699999999999999</v>
      </c>
      <c r="AZ185">
        <v>0.82399999999999995</v>
      </c>
    </row>
    <row r="186" spans="2:52">
      <c r="B186" t="s">
        <v>870</v>
      </c>
      <c r="C186">
        <v>39582142</v>
      </c>
      <c r="D186" t="s">
        <v>384</v>
      </c>
      <c r="F186" s="1" t="s">
        <v>871</v>
      </c>
      <c r="G186" s="1" t="s">
        <v>872</v>
      </c>
      <c r="H186" t="s">
        <v>65</v>
      </c>
      <c r="K186" t="s">
        <v>873</v>
      </c>
      <c r="L186" s="7">
        <v>3.8220000000000001</v>
      </c>
      <c r="M186" s="8">
        <v>42773</v>
      </c>
      <c r="N186">
        <v>2</v>
      </c>
      <c r="O186" t="s">
        <v>67</v>
      </c>
      <c r="P186">
        <v>2017</v>
      </c>
      <c r="Q186">
        <v>0.15989999999999999</v>
      </c>
      <c r="R186" s="10"/>
      <c r="S186">
        <f>ROUND(ТабCЕС[[#This Row],[Зелений Тариф ЕЦ]]+ТабCЕС[[#This Row],[Зелений Тариф ЕЦ]]*ТабCЕС[[#This Row],[% надбавки]],4)</f>
        <v>0.15989999999999999</v>
      </c>
      <c r="T186" s="8"/>
      <c r="U186">
        <v>0</v>
      </c>
      <c r="V186">
        <v>0</v>
      </c>
      <c r="W186">
        <v>0</v>
      </c>
      <c r="X186">
        <v>0.441</v>
      </c>
      <c r="Y186">
        <v>0.54600000000000004</v>
      </c>
      <c r="Z186">
        <v>0.62</v>
      </c>
      <c r="AA186">
        <v>0.62200000000000011</v>
      </c>
      <c r="AB186">
        <v>0.57299999999999995</v>
      </c>
      <c r="AC186">
        <v>0.42499999999999982</v>
      </c>
      <c r="AD186">
        <v>0.35600000000000032</v>
      </c>
      <c r="AE186">
        <v>9.8999999999999755E-2</v>
      </c>
      <c r="AF186">
        <v>8.8000000000000078E-2</v>
      </c>
      <c r="AG186">
        <v>0.13</v>
      </c>
      <c r="AH186">
        <v>0.127</v>
      </c>
      <c r="AI186">
        <v>0.28799999999999998</v>
      </c>
      <c r="AJ186">
        <v>0.59199999999999997</v>
      </c>
      <c r="AK186">
        <v>0.51600000000000001</v>
      </c>
      <c r="AL186">
        <v>0.439</v>
      </c>
      <c r="AM186">
        <v>0.48199999999999998</v>
      </c>
      <c r="AN186">
        <v>0.57599999999999996</v>
      </c>
      <c r="AO186">
        <v>0.45500000000000002</v>
      </c>
      <c r="AP186">
        <v>0.36</v>
      </c>
      <c r="AQ186">
        <v>0.129</v>
      </c>
      <c r="AR186">
        <v>5.8000000000000003E-2</v>
      </c>
      <c r="AS186">
        <v>8.1000000000000003E-2</v>
      </c>
      <c r="AT186">
        <v>0.253</v>
      </c>
      <c r="AU186">
        <v>0.39600000000000002</v>
      </c>
      <c r="AV186">
        <v>0.46600000000000003</v>
      </c>
      <c r="AW186">
        <v>0.46800000000000003</v>
      </c>
      <c r="AX186">
        <v>0.59599999999999997</v>
      </c>
      <c r="AY186">
        <v>0.59599999999999997</v>
      </c>
      <c r="AZ186">
        <v>0.58099999999999996</v>
      </c>
    </row>
    <row r="187" spans="2:52">
      <c r="C187" t="s">
        <v>58</v>
      </c>
      <c r="D187" t="s">
        <v>384</v>
      </c>
      <c r="F187" s="1" t="s">
        <v>874</v>
      </c>
      <c r="G187" s="1" t="s">
        <v>384</v>
      </c>
      <c r="H187" t="s">
        <v>65</v>
      </c>
      <c r="K187" t="s">
        <v>875</v>
      </c>
      <c r="L187" s="7">
        <v>2.0089999999999999</v>
      </c>
      <c r="M187" s="8">
        <v>43111</v>
      </c>
      <c r="N187">
        <v>1</v>
      </c>
      <c r="O187" t="s">
        <v>67</v>
      </c>
      <c r="P187">
        <v>2018</v>
      </c>
      <c r="Q187">
        <v>0.15029999999999999</v>
      </c>
      <c r="R187" s="10"/>
      <c r="S187">
        <f>ROUND(ТабCЕС[[#This Row],[Зелений Тариф ЕЦ]]+ТабCЕС[[#This Row],[Зелений Тариф ЕЦ]]*ТабCЕС[[#This Row],[% надбавки]],4)</f>
        <v>0.15029999999999999</v>
      </c>
      <c r="T187" s="8"/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7.0000000000000007E-2</v>
      </c>
      <c r="AH187">
        <v>4.2000000000000003E-2</v>
      </c>
      <c r="AI187">
        <v>0.13</v>
      </c>
      <c r="AJ187">
        <v>0.26300000000000001</v>
      </c>
      <c r="AK187">
        <v>0.311</v>
      </c>
      <c r="AL187">
        <v>0.22700000000000001</v>
      </c>
      <c r="AM187">
        <v>0.23799999999999999</v>
      </c>
      <c r="AN187">
        <v>0.27100000000000002</v>
      </c>
      <c r="AO187">
        <v>0.23</v>
      </c>
      <c r="AP187">
        <v>0.2</v>
      </c>
      <c r="AQ187">
        <v>4.8000000000000001E-2</v>
      </c>
      <c r="AR187">
        <v>2.5000000000000001E-2</v>
      </c>
      <c r="AS187">
        <v>1.6E-2</v>
      </c>
      <c r="AT187">
        <v>0.13</v>
      </c>
      <c r="AU187">
        <v>0.21199999999999999</v>
      </c>
      <c r="AV187">
        <v>0.22900000000000001</v>
      </c>
      <c r="AW187">
        <v>0.20599999999999999</v>
      </c>
      <c r="AX187">
        <v>0.28000000000000003</v>
      </c>
      <c r="AY187">
        <v>0.27100000000000002</v>
      </c>
      <c r="AZ187">
        <v>0.73199999999999998</v>
      </c>
    </row>
    <row r="188" spans="2:52">
      <c r="C188" t="s">
        <v>58</v>
      </c>
      <c r="D188" t="s">
        <v>384</v>
      </c>
      <c r="F188" s="1" t="s">
        <v>874</v>
      </c>
      <c r="G188" s="1" t="s">
        <v>876</v>
      </c>
      <c r="H188" t="s">
        <v>65</v>
      </c>
      <c r="K188" t="s">
        <v>877</v>
      </c>
      <c r="L188" s="7">
        <v>0.54700000000000004</v>
      </c>
      <c r="M188" s="8">
        <v>43277</v>
      </c>
      <c r="N188">
        <v>6</v>
      </c>
      <c r="O188" t="s">
        <v>57</v>
      </c>
      <c r="P188">
        <v>2018</v>
      </c>
      <c r="Q188">
        <v>0.15029999999999999</v>
      </c>
      <c r="R188" s="10"/>
      <c r="S188">
        <f>ROUND(ТабCЕС[[#This Row],[Зелений Тариф ЕЦ]]+ТабCЕС[[#This Row],[Зелений Тариф ЕЦ]]*ТабCЕС[[#This Row],[% надбавки]],4)</f>
        <v>0.15029999999999999</v>
      </c>
      <c r="T188" s="8"/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9.2999999999999999E-2</v>
      </c>
      <c r="AN188">
        <v>6.8000000000000005E-2</v>
      </c>
      <c r="AO188">
        <v>4.9000000000000002E-2</v>
      </c>
      <c r="AP188">
        <v>4.7E-2</v>
      </c>
      <c r="AQ188">
        <v>1.2999999999999999E-2</v>
      </c>
      <c r="AR188">
        <v>8.9999999999999993E-3</v>
      </c>
      <c r="AS188">
        <v>6.0000000000000001E-3</v>
      </c>
      <c r="AT188">
        <v>3.5000000000000003E-2</v>
      </c>
      <c r="AU188">
        <v>5.6000000000000001E-2</v>
      </c>
      <c r="AV188">
        <v>6.2E-2</v>
      </c>
      <c r="AW188">
        <v>5.7000000000000002E-2</v>
      </c>
      <c r="AX188">
        <v>0.08</v>
      </c>
      <c r="AY188">
        <v>7.5999999999999998E-2</v>
      </c>
      <c r="AZ188">
        <v>0</v>
      </c>
    </row>
    <row r="189" spans="2:52">
      <c r="C189" t="s">
        <v>58</v>
      </c>
      <c r="D189" t="s">
        <v>384</v>
      </c>
      <c r="F189" s="1" t="s">
        <v>874</v>
      </c>
      <c r="G189" s="1" t="s">
        <v>878</v>
      </c>
      <c r="H189" t="s">
        <v>65</v>
      </c>
      <c r="K189" t="s">
        <v>879</v>
      </c>
      <c r="L189" s="7">
        <v>2.952</v>
      </c>
      <c r="M189" s="8">
        <v>43596</v>
      </c>
      <c r="N189">
        <v>5</v>
      </c>
      <c r="O189" t="s">
        <v>57</v>
      </c>
      <c r="P189">
        <v>2019</v>
      </c>
      <c r="Q189">
        <v>0.15029999999999999</v>
      </c>
      <c r="R189" s="10"/>
      <c r="S189">
        <f>ROUND(ТабCЕС[[#This Row],[Зелений Тариф ЕЦ]]+ТабCЕС[[#This Row],[Зелений Тариф ЕЦ]]*ТабCЕС[[#This Row],[% надбавки]],4)</f>
        <v>0.15029999999999999</v>
      </c>
      <c r="T189" s="8"/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0.20399999999999999</v>
      </c>
      <c r="AZ189">
        <v>0</v>
      </c>
    </row>
    <row r="190" spans="2:52">
      <c r="C190" t="s">
        <v>58</v>
      </c>
      <c r="D190" t="s">
        <v>384</v>
      </c>
      <c r="F190" s="1" t="s">
        <v>880</v>
      </c>
      <c r="G190" s="1" t="s">
        <v>881</v>
      </c>
      <c r="H190" t="s">
        <v>82</v>
      </c>
      <c r="K190" t="s">
        <v>882</v>
      </c>
      <c r="L190" s="7">
        <v>11.679</v>
      </c>
      <c r="M190" s="8">
        <v>43637</v>
      </c>
      <c r="N190">
        <v>6</v>
      </c>
      <c r="O190" t="s">
        <v>57</v>
      </c>
      <c r="P190">
        <v>2019</v>
      </c>
      <c r="Q190">
        <v>0.15029999999999999</v>
      </c>
      <c r="R190" s="10"/>
      <c r="S190">
        <f>ROUND(ТабCЕС[[#This Row],[Зелений Тариф ЕЦ]]+ТабCЕС[[#This Row],[Зелений Тариф ЕЦ]]*ТабCЕС[[#This Row],[% надбавки]],4)</f>
        <v>0.15029999999999999</v>
      </c>
      <c r="T190" s="8"/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1.7589999999999999</v>
      </c>
    </row>
    <row r="191" spans="2:52">
      <c r="C191" t="s">
        <v>58</v>
      </c>
      <c r="D191" t="s">
        <v>384</v>
      </c>
      <c r="F191" s="1" t="s">
        <v>883</v>
      </c>
      <c r="G191" s="1" t="s">
        <v>884</v>
      </c>
      <c r="H191" t="s">
        <v>136</v>
      </c>
      <c r="K191" t="s">
        <v>885</v>
      </c>
      <c r="L191" s="7">
        <v>2.093</v>
      </c>
      <c r="M191" s="8">
        <v>42803</v>
      </c>
      <c r="N191">
        <v>3</v>
      </c>
      <c r="O191" t="s">
        <v>67</v>
      </c>
      <c r="P191">
        <v>2017</v>
      </c>
      <c r="Q191">
        <v>0.15989999999999999</v>
      </c>
      <c r="R191" s="10"/>
      <c r="S191">
        <f>ROUND(ТабCЕС[[#This Row],[Зелений Тариф ЕЦ]]+ТабCЕС[[#This Row],[Зелений Тариф ЕЦ]]*ТабCЕС[[#This Row],[% надбавки]],4)</f>
        <v>0.15989999999999999</v>
      </c>
      <c r="T191" s="8"/>
      <c r="U191">
        <v>0</v>
      </c>
      <c r="V191">
        <v>0</v>
      </c>
      <c r="W191">
        <v>0</v>
      </c>
      <c r="X191">
        <v>0</v>
      </c>
      <c r="Y191">
        <v>0.54700000000000004</v>
      </c>
      <c r="Z191">
        <v>0.30999999999999994</v>
      </c>
      <c r="AA191">
        <v>0.35099999999999998</v>
      </c>
      <c r="AB191">
        <v>0.31499999999999995</v>
      </c>
      <c r="AC191">
        <v>0.28000000000000003</v>
      </c>
      <c r="AD191">
        <v>0.1180000000000001</v>
      </c>
      <c r="AE191">
        <v>4.6999999999999931E-2</v>
      </c>
      <c r="AF191">
        <v>2.3000000000000131E-2</v>
      </c>
      <c r="AG191">
        <v>5.1999999999999998E-2</v>
      </c>
      <c r="AH191">
        <v>8.4000000000000005E-2</v>
      </c>
      <c r="AI191">
        <v>0.16800000000000001</v>
      </c>
      <c r="AJ191">
        <v>0.32800000000000001</v>
      </c>
      <c r="AK191">
        <v>0.35599999999999998</v>
      </c>
      <c r="AL191">
        <v>0.32200000000000001</v>
      </c>
      <c r="AM191">
        <v>0.311</v>
      </c>
      <c r="AN191">
        <v>0.36399999999999999</v>
      </c>
      <c r="AO191">
        <v>0.224</v>
      </c>
      <c r="AP191">
        <v>0.214</v>
      </c>
      <c r="AQ191">
        <v>6.0999999999999999E-2</v>
      </c>
      <c r="AR191">
        <v>1.6E-2</v>
      </c>
      <c r="AS191">
        <v>1.6E-2</v>
      </c>
      <c r="AT191">
        <v>0.106</v>
      </c>
      <c r="AU191">
        <v>0.22700000000000001</v>
      </c>
      <c r="AV191">
        <v>0.27500000000000002</v>
      </c>
      <c r="AW191">
        <v>0.27300000000000002</v>
      </c>
      <c r="AX191">
        <v>0.36</v>
      </c>
      <c r="AY191">
        <v>0.33600000000000002</v>
      </c>
      <c r="AZ191">
        <v>0.32900000000000001</v>
      </c>
    </row>
    <row r="192" spans="2:52" ht="25.5">
      <c r="C192" t="s">
        <v>58</v>
      </c>
      <c r="D192" t="s">
        <v>384</v>
      </c>
      <c r="F192" s="1" t="s">
        <v>886</v>
      </c>
      <c r="G192" s="1" t="s">
        <v>887</v>
      </c>
      <c r="H192" t="s">
        <v>98</v>
      </c>
      <c r="K192" t="s">
        <v>888</v>
      </c>
      <c r="L192" s="7">
        <v>5.94</v>
      </c>
      <c r="M192" s="8">
        <v>43277</v>
      </c>
      <c r="N192">
        <v>6</v>
      </c>
      <c r="O192" t="s">
        <v>57</v>
      </c>
      <c r="P192">
        <v>2018</v>
      </c>
      <c r="Q192">
        <v>0.15029999999999999</v>
      </c>
      <c r="R192" s="10"/>
      <c r="S192">
        <f>ROUND(ТабCЕС[[#This Row],[Зелений Тариф ЕЦ]]+ТабCЕС[[#This Row],[Зелений Тариф ЕЦ]]*ТабCЕС[[#This Row],[% надбавки]],4)</f>
        <v>0.15029999999999999</v>
      </c>
      <c r="T192" s="8"/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0.245</v>
      </c>
      <c r="AM192">
        <v>1.0509999999999999</v>
      </c>
      <c r="AN192">
        <v>1.6140000000000001</v>
      </c>
      <c r="AO192">
        <v>1.3460000000000001</v>
      </c>
      <c r="AP192">
        <v>0.96299999999999997</v>
      </c>
      <c r="AQ192">
        <v>0.42399999999999999</v>
      </c>
      <c r="AR192">
        <v>0.11</v>
      </c>
      <c r="AS192">
        <v>0.17699999999999999</v>
      </c>
      <c r="AT192">
        <v>0.745</v>
      </c>
      <c r="AU192">
        <v>1.06</v>
      </c>
      <c r="AV192">
        <v>1.51</v>
      </c>
      <c r="AW192">
        <v>1.2709999999999999</v>
      </c>
      <c r="AX192">
        <v>1.9019999999999999</v>
      </c>
      <c r="AY192">
        <v>1.702</v>
      </c>
      <c r="AZ192">
        <v>1.7270000000000001</v>
      </c>
    </row>
    <row r="193" spans="2:52" ht="25.5">
      <c r="C193" t="s">
        <v>58</v>
      </c>
      <c r="D193" t="s">
        <v>384</v>
      </c>
      <c r="F193" s="1" t="s">
        <v>886</v>
      </c>
      <c r="G193" s="1" t="s">
        <v>889</v>
      </c>
      <c r="H193" t="s">
        <v>98</v>
      </c>
      <c r="K193" t="s">
        <v>890</v>
      </c>
      <c r="L193" s="7">
        <v>5.7969999999999997</v>
      </c>
      <c r="M193" s="8">
        <v>43300</v>
      </c>
      <c r="N193">
        <v>7</v>
      </c>
      <c r="O193" t="s">
        <v>60</v>
      </c>
      <c r="P193">
        <v>2018</v>
      </c>
      <c r="Q193">
        <v>0.15029999999999999</v>
      </c>
      <c r="R193" s="10"/>
      <c r="S193">
        <f>ROUND(ТабCЕС[[#This Row],[Зелений Тариф ЕЦ]]+ТабCЕС[[#This Row],[Зелений Тариф ЕЦ]]*ТабCЕС[[#This Row],[% надбавки]],4)</f>
        <v>0.15029999999999999</v>
      </c>
      <c r="T193" s="8"/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2:52">
      <c r="C194" t="s">
        <v>58</v>
      </c>
      <c r="D194" t="s">
        <v>384</v>
      </c>
      <c r="F194" s="1" t="s">
        <v>891</v>
      </c>
      <c r="G194" s="1" t="s">
        <v>384</v>
      </c>
      <c r="H194" t="s">
        <v>98</v>
      </c>
      <c r="K194" t="s">
        <v>892</v>
      </c>
      <c r="L194" s="7">
        <v>2.7450000000000001</v>
      </c>
      <c r="M194" s="8">
        <v>43613</v>
      </c>
      <c r="N194">
        <v>5</v>
      </c>
      <c r="O194" t="s">
        <v>57</v>
      </c>
      <c r="P194">
        <v>2019</v>
      </c>
      <c r="Q194">
        <v>0.15029999999999999</v>
      </c>
      <c r="R194" s="10"/>
      <c r="S194">
        <f>ROUND(ТабCЕС[[#This Row],[Зелений Тариф ЕЦ]]+ТабCЕС[[#This Row],[Зелений Тариф ЕЦ]]*ТабCЕС[[#This Row],[% надбавки]],4)</f>
        <v>0.15029999999999999</v>
      </c>
      <c r="T194" s="8"/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2:52">
      <c r="B195" t="s">
        <v>893</v>
      </c>
      <c r="C195">
        <v>38246490</v>
      </c>
      <c r="D195" t="s">
        <v>384</v>
      </c>
      <c r="F195" s="1" t="s">
        <v>894</v>
      </c>
      <c r="G195" s="1" t="s">
        <v>895</v>
      </c>
      <c r="H195" t="s">
        <v>98</v>
      </c>
      <c r="K195" t="s">
        <v>896</v>
      </c>
      <c r="L195" s="7">
        <v>9.94</v>
      </c>
      <c r="M195" s="8">
        <v>42726</v>
      </c>
      <c r="N195">
        <v>12</v>
      </c>
      <c r="O195" t="s">
        <v>71</v>
      </c>
      <c r="P195">
        <v>2016</v>
      </c>
      <c r="Q195">
        <v>0.15989999999999999</v>
      </c>
      <c r="R195" s="10"/>
      <c r="S195">
        <f>ROUND(ТабCЕС[[#This Row],[Зелений Тариф ЕЦ]]+ТабCЕС[[#This Row],[Зелений Тариф ЕЦ]]*ТабCЕС[[#This Row],[% надбавки]],4)</f>
        <v>0.15989999999999999</v>
      </c>
      <c r="T195" s="8"/>
      <c r="U195">
        <v>0</v>
      </c>
      <c r="V195">
        <v>0</v>
      </c>
      <c r="W195">
        <v>0.71799999999999997</v>
      </c>
      <c r="X195">
        <v>1.141</v>
      </c>
      <c r="Y195">
        <v>1.4350000000000001</v>
      </c>
      <c r="Z195">
        <v>1.5479999999999996</v>
      </c>
      <c r="AA195">
        <v>1.5810000000000004</v>
      </c>
      <c r="AB195">
        <v>1.4879999999999995</v>
      </c>
      <c r="AC195">
        <v>0.88499999999999979</v>
      </c>
      <c r="AD195">
        <v>0.62800000000000011</v>
      </c>
      <c r="AE195">
        <v>0.27899999999999991</v>
      </c>
      <c r="AF195">
        <v>0.10299999999999976</v>
      </c>
      <c r="AG195">
        <v>0.255</v>
      </c>
      <c r="AH195">
        <v>0.28999999999999998</v>
      </c>
      <c r="AI195">
        <v>0.97299999999999998</v>
      </c>
      <c r="AJ195">
        <v>1.4550000000000001</v>
      </c>
      <c r="AK195">
        <v>1.677</v>
      </c>
      <c r="AL195">
        <v>1.3380000000000001</v>
      </c>
      <c r="AM195">
        <v>1.31</v>
      </c>
      <c r="AN195">
        <v>1.4430000000000001</v>
      </c>
      <c r="AO195">
        <v>1.196</v>
      </c>
      <c r="AP195">
        <v>0.85399999999999998</v>
      </c>
      <c r="AQ195">
        <v>0.39100000000000001</v>
      </c>
      <c r="AR195">
        <v>8.7999999999999995E-2</v>
      </c>
      <c r="AS195">
        <v>0.14199999999999999</v>
      </c>
      <c r="AT195">
        <v>0.65400000000000003</v>
      </c>
      <c r="AU195">
        <v>0.93799999999999994</v>
      </c>
      <c r="AV195">
        <v>1.3160000000000001</v>
      </c>
      <c r="AW195">
        <v>1.0940000000000001</v>
      </c>
      <c r="AX195">
        <v>1.6240000000000001</v>
      </c>
      <c r="AY195">
        <v>1.46</v>
      </c>
      <c r="AZ195">
        <v>1.5069999999999999</v>
      </c>
    </row>
    <row r="196" spans="2:52">
      <c r="B196" t="s">
        <v>897</v>
      </c>
      <c r="C196">
        <v>32549423</v>
      </c>
      <c r="D196" t="s">
        <v>384</v>
      </c>
      <c r="F196" s="1" t="s">
        <v>898</v>
      </c>
      <c r="G196" s="1" t="s">
        <v>408</v>
      </c>
      <c r="H196" t="s">
        <v>198</v>
      </c>
      <c r="K196" t="s">
        <v>899</v>
      </c>
      <c r="L196" s="7">
        <v>9.8520000000000003</v>
      </c>
      <c r="M196" s="8">
        <v>42636</v>
      </c>
      <c r="N196">
        <v>9</v>
      </c>
      <c r="O196" t="s">
        <v>60</v>
      </c>
      <c r="P196">
        <v>2016</v>
      </c>
      <c r="Q196">
        <v>0.15989999999999999</v>
      </c>
      <c r="R196" s="10">
        <v>0.05</v>
      </c>
      <c r="S196">
        <f>ROUND(ТабCЕС[[#This Row],[Зелений Тариф ЕЦ]]+ТабCЕС[[#This Row],[Зелений Тариф ЕЦ]]*ТабCЕС[[#This Row],[% надбавки]],4)</f>
        <v>0.16789999999999999</v>
      </c>
      <c r="T196" s="8">
        <v>43263</v>
      </c>
      <c r="U196">
        <v>0.621</v>
      </c>
      <c r="V196">
        <v>1.0780000000000001</v>
      </c>
      <c r="W196">
        <v>2.0649999999999995</v>
      </c>
      <c r="X196">
        <v>2.5080000000000005</v>
      </c>
      <c r="Y196">
        <v>3.2129999999999992</v>
      </c>
      <c r="Z196">
        <v>3.3200000000000003</v>
      </c>
      <c r="AA196">
        <v>3.1300000000000008</v>
      </c>
      <c r="AB196">
        <v>2.895999999999999</v>
      </c>
      <c r="AC196">
        <v>2.2029999999999994</v>
      </c>
      <c r="AD196">
        <v>1.1380000000000017</v>
      </c>
      <c r="AE196">
        <v>0.56299999999999883</v>
      </c>
      <c r="AF196">
        <v>0.26699999999999946</v>
      </c>
      <c r="AG196">
        <v>0.33300000000000002</v>
      </c>
      <c r="AH196">
        <v>0.75600000000000001</v>
      </c>
      <c r="AI196">
        <v>1.552</v>
      </c>
      <c r="AJ196">
        <v>2.9710000000000001</v>
      </c>
      <c r="AK196">
        <v>3.4569999999999999</v>
      </c>
      <c r="AL196">
        <v>2.9550000000000001</v>
      </c>
      <c r="AM196">
        <v>2.8690000000000002</v>
      </c>
      <c r="AN196">
        <v>3.2869999999999999</v>
      </c>
      <c r="AO196">
        <v>2.04</v>
      </c>
      <c r="AP196">
        <v>1.87</v>
      </c>
      <c r="AQ196">
        <v>0.48599999999999999</v>
      </c>
      <c r="AR196">
        <v>0.27500000000000002</v>
      </c>
      <c r="AS196">
        <v>0.30199999999999999</v>
      </c>
      <c r="AT196">
        <v>0.82099999999999995</v>
      </c>
      <c r="AU196">
        <v>1.927</v>
      </c>
      <c r="AV196">
        <v>2.57</v>
      </c>
      <c r="AW196">
        <v>2.6629999999999998</v>
      </c>
      <c r="AX196">
        <v>3.2890000000000001</v>
      </c>
      <c r="AY196">
        <v>3.0640000000000001</v>
      </c>
      <c r="AZ196">
        <v>3.0449999999999999</v>
      </c>
    </row>
    <row r="197" spans="2:52">
      <c r="B197" t="s">
        <v>900</v>
      </c>
      <c r="C197">
        <v>32549423</v>
      </c>
      <c r="D197" t="s">
        <v>384</v>
      </c>
      <c r="F197" s="1" t="s">
        <v>898</v>
      </c>
      <c r="G197" s="1" t="s">
        <v>410</v>
      </c>
      <c r="H197" t="s">
        <v>198</v>
      </c>
      <c r="K197" t="s">
        <v>901</v>
      </c>
      <c r="L197" s="7">
        <v>9.8170000000000002</v>
      </c>
      <c r="M197" s="8">
        <v>42719</v>
      </c>
      <c r="N197">
        <v>12</v>
      </c>
      <c r="O197" t="s">
        <v>71</v>
      </c>
      <c r="P197">
        <v>2016</v>
      </c>
      <c r="Q197">
        <v>0.15989999999999999</v>
      </c>
      <c r="R197" s="10">
        <v>0.05</v>
      </c>
      <c r="S197">
        <f>ROUND(ТабCЕС[[#This Row],[Зелений Тариф ЕЦ]]+ТабCЕС[[#This Row],[Зелений Тариф ЕЦ]]*ТабCЕС[[#This Row],[% надбавки]],4)</f>
        <v>0.16789999999999999</v>
      </c>
      <c r="T197" s="8">
        <v>43263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2:52">
      <c r="C198" t="s">
        <v>58</v>
      </c>
      <c r="D198" t="s">
        <v>384</v>
      </c>
      <c r="F198" s="1" t="s">
        <v>902</v>
      </c>
      <c r="G198" s="1" t="s">
        <v>408</v>
      </c>
      <c r="H198" t="s">
        <v>122</v>
      </c>
      <c r="K198" t="s">
        <v>903</v>
      </c>
      <c r="L198" s="7">
        <v>2.2570000000000001</v>
      </c>
      <c r="M198" s="8">
        <v>43490</v>
      </c>
      <c r="N198">
        <v>1</v>
      </c>
      <c r="O198" t="s">
        <v>67</v>
      </c>
      <c r="P198">
        <v>2019</v>
      </c>
      <c r="Q198">
        <v>0.15029999999999999</v>
      </c>
      <c r="R198" s="10"/>
      <c r="S198">
        <f>ROUND(ТабCЕС[[#This Row],[Зелений Тариф ЕЦ]]+ТабCЕС[[#This Row],[Зелений Тариф ЕЦ]]*ТабCЕС[[#This Row],[% надбавки]],4)</f>
        <v>0.15029999999999999</v>
      </c>
      <c r="T198" s="8"/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0.33300000000000002</v>
      </c>
      <c r="AW198">
        <v>0.34699999999999998</v>
      </c>
      <c r="AX198">
        <v>0.30099999999999999</v>
      </c>
      <c r="AY198">
        <v>0.39300000000000002</v>
      </c>
      <c r="AZ198">
        <v>0.34399999999999997</v>
      </c>
    </row>
    <row r="199" spans="2:52">
      <c r="C199" t="s">
        <v>58</v>
      </c>
      <c r="D199" t="s">
        <v>384</v>
      </c>
      <c r="F199" s="1" t="s">
        <v>902</v>
      </c>
      <c r="G199" s="1" t="s">
        <v>410</v>
      </c>
      <c r="H199" t="s">
        <v>122</v>
      </c>
      <c r="K199" t="s">
        <v>904</v>
      </c>
      <c r="L199" s="7">
        <v>2.2570000000000001</v>
      </c>
      <c r="M199" s="8">
        <v>43692</v>
      </c>
      <c r="N199">
        <v>8</v>
      </c>
      <c r="O199" t="s">
        <v>60</v>
      </c>
      <c r="P199">
        <v>2019</v>
      </c>
      <c r="Q199">
        <v>0.15029999999999999</v>
      </c>
      <c r="R199" s="10"/>
      <c r="S199">
        <f>ROUND(ТабCЕС[[#This Row],[Зелений Тариф ЕЦ]]+ТабCЕС[[#This Row],[Зелений Тариф ЕЦ]]*ТабCЕС[[#This Row],[% надбавки]],4)</f>
        <v>0.15029999999999999</v>
      </c>
      <c r="T199" s="8"/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2:52">
      <c r="C200" t="s">
        <v>58</v>
      </c>
      <c r="D200" t="s">
        <v>384</v>
      </c>
      <c r="F200" s="1" t="s">
        <v>905</v>
      </c>
      <c r="G200" s="1" t="s">
        <v>906</v>
      </c>
      <c r="H200" t="s">
        <v>136</v>
      </c>
      <c r="K200" t="s">
        <v>907</v>
      </c>
      <c r="L200" s="7">
        <v>0.8</v>
      </c>
      <c r="M200" s="8">
        <v>43643</v>
      </c>
      <c r="N200">
        <v>6</v>
      </c>
      <c r="O200" t="s">
        <v>57</v>
      </c>
      <c r="P200">
        <v>2019</v>
      </c>
      <c r="Q200">
        <v>0.15029999999999999</v>
      </c>
      <c r="R200" s="10"/>
      <c r="S200">
        <f>ROUND(ТабCЕС[[#This Row],[Зелений Тариф ЕЦ]]+ТабCЕС[[#This Row],[Зелений Тариф ЕЦ]]*ТабCЕС[[#This Row],[% надбавки]],4)</f>
        <v>0.15029999999999999</v>
      </c>
      <c r="T200" s="8"/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0.13400000000000001</v>
      </c>
    </row>
    <row r="201" spans="2:52">
      <c r="B201" t="s">
        <v>908</v>
      </c>
      <c r="C201">
        <v>36881398</v>
      </c>
      <c r="D201" t="s">
        <v>384</v>
      </c>
      <c r="F201" s="1" t="s">
        <v>909</v>
      </c>
      <c r="G201" s="1" t="s">
        <v>384</v>
      </c>
      <c r="H201" t="s">
        <v>101</v>
      </c>
      <c r="K201" t="s">
        <v>910</v>
      </c>
      <c r="L201" s="7">
        <v>21.385000000000002</v>
      </c>
      <c r="M201" s="8">
        <v>41249</v>
      </c>
      <c r="N201">
        <v>12</v>
      </c>
      <c r="O201" t="s">
        <v>71</v>
      </c>
      <c r="P201">
        <v>2012</v>
      </c>
      <c r="Q201">
        <v>0.25850000000000001</v>
      </c>
      <c r="R201" s="10"/>
      <c r="S201">
        <f>ROUND(ТабCЕС[[#This Row],[Зелений Тариф ЕЦ]]+ТабCЕС[[#This Row],[Зелений Тариф ЕЦ]]*ТабCЕС[[#This Row],[% надбавки]],4)</f>
        <v>0.25850000000000001</v>
      </c>
      <c r="T201" s="8"/>
      <c r="U201">
        <v>1.1319999999999999</v>
      </c>
      <c r="V201">
        <v>1.595</v>
      </c>
      <c r="W201">
        <v>2.5050000000000003</v>
      </c>
      <c r="X201">
        <v>2.9899999999999993</v>
      </c>
      <c r="Y201">
        <v>3.5910000000000011</v>
      </c>
      <c r="Z201">
        <v>3.6239999999999988</v>
      </c>
      <c r="AA201">
        <v>3.6080000000000023</v>
      </c>
      <c r="AB201">
        <v>3.5879999999999974</v>
      </c>
      <c r="AC201">
        <v>3.1730000000000018</v>
      </c>
      <c r="AD201">
        <v>2.2659999999999982</v>
      </c>
      <c r="AE201">
        <v>0.91300000000000026</v>
      </c>
      <c r="AF201">
        <v>0.86899999999999977</v>
      </c>
      <c r="AG201">
        <v>1.1220000000000001</v>
      </c>
      <c r="AH201">
        <v>1.0129999999999999</v>
      </c>
      <c r="AI201">
        <v>1.91</v>
      </c>
      <c r="AJ201">
        <v>3.61</v>
      </c>
      <c r="AK201">
        <v>3.6829999999999998</v>
      </c>
      <c r="AL201">
        <v>3.4180000000000001</v>
      </c>
      <c r="AM201">
        <v>3.226</v>
      </c>
      <c r="AN201">
        <v>3.8250000000000002</v>
      </c>
      <c r="AO201">
        <v>2.907</v>
      </c>
      <c r="AP201">
        <v>2.7040000000000002</v>
      </c>
      <c r="AQ201">
        <v>0.67900000000000005</v>
      </c>
      <c r="AR201">
        <v>0.59099999999999997</v>
      </c>
      <c r="AS201">
        <v>0.77900000000000003</v>
      </c>
      <c r="AT201">
        <v>1.5449999999999999</v>
      </c>
      <c r="AU201">
        <v>3.02</v>
      </c>
      <c r="AV201">
        <v>2.7410000000000001</v>
      </c>
      <c r="AW201">
        <v>3.26</v>
      </c>
      <c r="AX201">
        <v>3.4780000000000002</v>
      </c>
      <c r="AY201">
        <v>3.5710000000000002</v>
      </c>
      <c r="AZ201">
        <v>3.6440000000000001</v>
      </c>
    </row>
    <row r="202" spans="2:52">
      <c r="B202" t="s">
        <v>911</v>
      </c>
      <c r="C202">
        <v>36881382</v>
      </c>
      <c r="D202" t="s">
        <v>384</v>
      </c>
      <c r="F202" s="1" t="s">
        <v>912</v>
      </c>
      <c r="G202" s="1" t="s">
        <v>384</v>
      </c>
      <c r="H202" t="s">
        <v>101</v>
      </c>
      <c r="K202" t="s">
        <v>913</v>
      </c>
      <c r="L202" s="7">
        <v>21.983000000000001</v>
      </c>
      <c r="M202" s="8">
        <v>41249</v>
      </c>
      <c r="N202">
        <v>12</v>
      </c>
      <c r="O202" t="s">
        <v>71</v>
      </c>
      <c r="P202">
        <v>2012</v>
      </c>
      <c r="Q202">
        <v>0.25850000000000001</v>
      </c>
      <c r="R202" s="10"/>
      <c r="S202">
        <f>ROUND(ТабCЕС[[#This Row],[Зелений Тариф ЕЦ]]+ТабCЕС[[#This Row],[Зелений Тариф ЕЦ]]*ТабCЕС[[#This Row],[% надбавки]],4)</f>
        <v>0.25850000000000001</v>
      </c>
      <c r="T202" s="8"/>
      <c r="U202">
        <v>1.153</v>
      </c>
      <c r="V202">
        <v>1.6029999999999998</v>
      </c>
      <c r="W202">
        <v>2.5329999999999999</v>
      </c>
      <c r="X202">
        <v>3.0340000000000007</v>
      </c>
      <c r="Y202">
        <v>3.6530000000000005</v>
      </c>
      <c r="Z202">
        <v>3.6869999999999994</v>
      </c>
      <c r="AA202">
        <v>3.6709999999999994</v>
      </c>
      <c r="AB202">
        <v>3.6290000000000013</v>
      </c>
      <c r="AC202">
        <v>3.2189999999999976</v>
      </c>
      <c r="AD202">
        <v>2.2970000000000006</v>
      </c>
      <c r="AE202">
        <v>0.92300000000000182</v>
      </c>
      <c r="AF202">
        <v>0.8819999999999979</v>
      </c>
      <c r="AG202">
        <v>1.1419999999999999</v>
      </c>
      <c r="AH202">
        <v>1.02</v>
      </c>
      <c r="AI202">
        <v>1.94</v>
      </c>
      <c r="AJ202">
        <v>3.6709999999999998</v>
      </c>
      <c r="AK202">
        <v>3.734</v>
      </c>
      <c r="AL202">
        <v>3.4510000000000001</v>
      </c>
      <c r="AM202">
        <v>3.278</v>
      </c>
      <c r="AN202">
        <v>3.8780000000000001</v>
      </c>
      <c r="AO202">
        <v>2.9460000000000002</v>
      </c>
      <c r="AP202">
        <v>2.7360000000000002</v>
      </c>
      <c r="AQ202">
        <v>0.68600000000000005</v>
      </c>
      <c r="AR202">
        <v>0.59899999999999998</v>
      </c>
      <c r="AS202">
        <v>0.79500000000000004</v>
      </c>
      <c r="AT202">
        <v>1.5740000000000001</v>
      </c>
      <c r="AU202">
        <v>3.0640000000000001</v>
      </c>
      <c r="AV202">
        <v>2.7730000000000001</v>
      </c>
      <c r="AW202">
        <v>3.2919999999999998</v>
      </c>
      <c r="AX202">
        <v>3.512</v>
      </c>
      <c r="AY202">
        <v>3.6040000000000001</v>
      </c>
      <c r="AZ202">
        <v>3.677</v>
      </c>
    </row>
    <row r="203" spans="2:52">
      <c r="C203" t="s">
        <v>58</v>
      </c>
      <c r="D203" t="s">
        <v>384</v>
      </c>
      <c r="F203" s="1" t="s">
        <v>914</v>
      </c>
      <c r="G203" s="1" t="s">
        <v>915</v>
      </c>
      <c r="H203" t="s">
        <v>136</v>
      </c>
      <c r="K203" t="s">
        <v>916</v>
      </c>
      <c r="L203" s="7">
        <v>4.95</v>
      </c>
      <c r="M203" s="8">
        <v>43508</v>
      </c>
      <c r="N203">
        <v>2</v>
      </c>
      <c r="O203" t="s">
        <v>67</v>
      </c>
      <c r="P203">
        <v>2019</v>
      </c>
      <c r="Q203">
        <v>0.15029999999999999</v>
      </c>
      <c r="R203" s="10"/>
      <c r="S203">
        <f>ROUND(ТабCЕС[[#This Row],[Зелений Тариф ЕЦ]]+ТабCЕС[[#This Row],[Зелений Тариф ЕЦ]]*ТабCЕС[[#This Row],[% надбавки]],4)</f>
        <v>0.15029999999999999</v>
      </c>
      <c r="T203" s="8"/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0.67100000000000004</v>
      </c>
      <c r="AW203">
        <v>0.72699999999999998</v>
      </c>
      <c r="AX203">
        <v>0.75900000000000001</v>
      </c>
      <c r="AY203">
        <v>0.63700000000000001</v>
      </c>
      <c r="AZ203">
        <v>0.76300000000000001</v>
      </c>
    </row>
    <row r="204" spans="2:52">
      <c r="C204" t="s">
        <v>58</v>
      </c>
      <c r="D204" t="s">
        <v>384</v>
      </c>
      <c r="F204" s="1" t="s">
        <v>917</v>
      </c>
      <c r="G204" s="1" t="s">
        <v>918</v>
      </c>
      <c r="H204" t="s">
        <v>69</v>
      </c>
      <c r="K204" t="s">
        <v>919</v>
      </c>
      <c r="L204" s="7">
        <v>22.693000000000001</v>
      </c>
      <c r="M204" s="8">
        <v>43581</v>
      </c>
      <c r="N204">
        <v>4</v>
      </c>
      <c r="O204" t="s">
        <v>57</v>
      </c>
      <c r="P204">
        <v>2019</v>
      </c>
      <c r="Q204">
        <v>0.15029999999999999</v>
      </c>
      <c r="R204" s="10"/>
      <c r="S204">
        <f>ROUND(ТабCЕС[[#This Row],[Зелений Тариф ЕЦ]]+ТабCЕС[[#This Row],[Зелений Тариф ЕЦ]]*ТабCЕС[[#This Row],[% надбавки]],4)</f>
        <v>0.15029999999999999</v>
      </c>
      <c r="T204" s="8"/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1.962</v>
      </c>
      <c r="AY204">
        <v>3.79</v>
      </c>
      <c r="AZ204">
        <v>3.48</v>
      </c>
    </row>
    <row r="205" spans="2:52">
      <c r="C205" t="s">
        <v>58</v>
      </c>
      <c r="D205" t="s">
        <v>384</v>
      </c>
      <c r="F205" s="1" t="s">
        <v>920</v>
      </c>
      <c r="G205" s="1" t="s">
        <v>384</v>
      </c>
      <c r="H205" t="s">
        <v>172</v>
      </c>
      <c r="K205" t="s">
        <v>921</v>
      </c>
      <c r="L205" s="7">
        <v>4.2309999999999999</v>
      </c>
      <c r="M205" s="8">
        <v>43613</v>
      </c>
      <c r="N205">
        <v>5</v>
      </c>
      <c r="O205" t="s">
        <v>57</v>
      </c>
      <c r="P205">
        <v>2019</v>
      </c>
      <c r="Q205">
        <v>0.15029999999999999</v>
      </c>
      <c r="R205" s="10"/>
      <c r="S205">
        <f>ROUND(ТабCЕС[[#This Row],[Зелений Тариф ЕЦ]]+ТабCЕС[[#This Row],[Зелений Тариф ЕЦ]]*ТабCЕС[[#This Row],[% надбавки]],4)</f>
        <v>0.15029999999999999</v>
      </c>
      <c r="T205" s="8"/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0.68899999999999995</v>
      </c>
      <c r="AY205">
        <v>0.66100000000000003</v>
      </c>
      <c r="AZ205">
        <v>0.60799999999999998</v>
      </c>
    </row>
    <row r="206" spans="2:52">
      <c r="C206" t="s">
        <v>58</v>
      </c>
      <c r="D206" t="s">
        <v>384</v>
      </c>
      <c r="F206" s="1" t="s">
        <v>922</v>
      </c>
      <c r="G206" s="1" t="s">
        <v>923</v>
      </c>
      <c r="H206" t="s">
        <v>82</v>
      </c>
      <c r="K206" t="s">
        <v>924</v>
      </c>
      <c r="L206" s="7">
        <v>12.1</v>
      </c>
      <c r="M206" s="8">
        <v>43641</v>
      </c>
      <c r="N206">
        <v>6</v>
      </c>
      <c r="O206" t="s">
        <v>57</v>
      </c>
      <c r="P206">
        <v>2019</v>
      </c>
      <c r="Q206">
        <v>0.15029999999999999</v>
      </c>
      <c r="R206" s="10">
        <v>0.05</v>
      </c>
      <c r="S206">
        <f>ROUND(ТабCЕС[[#This Row],[Зелений Тариф ЕЦ]]+ТабCЕС[[#This Row],[Зелений Тариф ЕЦ]]*ТабCЕС[[#This Row],[% надбавки]],4)</f>
        <v>0.1578</v>
      </c>
      <c r="T206" s="8">
        <v>43676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1.1319999999999999</v>
      </c>
      <c r="AZ206">
        <v>2.0350000000000001</v>
      </c>
    </row>
    <row r="207" spans="2:52">
      <c r="C207" t="s">
        <v>58</v>
      </c>
      <c r="D207" t="s">
        <v>384</v>
      </c>
      <c r="F207" s="1" t="s">
        <v>925</v>
      </c>
      <c r="G207" s="1" t="s">
        <v>926</v>
      </c>
      <c r="H207" t="s">
        <v>82</v>
      </c>
      <c r="K207" t="s">
        <v>927</v>
      </c>
      <c r="L207" s="7">
        <v>12.494</v>
      </c>
      <c r="M207" s="8">
        <v>43641</v>
      </c>
      <c r="N207">
        <v>6</v>
      </c>
      <c r="O207" t="s">
        <v>57</v>
      </c>
      <c r="P207">
        <v>2019</v>
      </c>
      <c r="Q207">
        <v>0.15029999999999999</v>
      </c>
      <c r="R207" s="10">
        <v>0.05</v>
      </c>
      <c r="S207">
        <f>ROUND(ТабCЕС[[#This Row],[Зелений Тариф ЕЦ]]+ТабCЕС[[#This Row],[Зелений Тариф ЕЦ]]*ТабCЕС[[#This Row],[% надбавки]],4)</f>
        <v>0.1578</v>
      </c>
      <c r="T207" s="8">
        <v>43676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2:52">
      <c r="B208" t="s">
        <v>928</v>
      </c>
      <c r="C208">
        <v>41739875</v>
      </c>
      <c r="D208" t="s">
        <v>384</v>
      </c>
      <c r="F208" s="1" t="s">
        <v>929</v>
      </c>
      <c r="G208" s="1" t="s">
        <v>930</v>
      </c>
      <c r="H208" t="s">
        <v>82</v>
      </c>
      <c r="I208" t="s">
        <v>931</v>
      </c>
      <c r="K208" t="s">
        <v>932</v>
      </c>
      <c r="L208" s="7">
        <v>10.048999999999999</v>
      </c>
      <c r="M208" s="8">
        <v>43641</v>
      </c>
      <c r="N208">
        <v>6</v>
      </c>
      <c r="O208" t="s">
        <v>57</v>
      </c>
      <c r="P208">
        <v>2019</v>
      </c>
      <c r="Q208">
        <v>0.15029999999999999</v>
      </c>
      <c r="R208" s="10">
        <v>0.05</v>
      </c>
      <c r="S208">
        <f>ROUND(ТабCЕС[[#This Row],[Зелений Тариф ЕЦ]]+ТабCЕС[[#This Row],[Зелений Тариф ЕЦ]]*ТабCЕС[[#This Row],[% надбавки]],4)</f>
        <v>0.1578</v>
      </c>
      <c r="T208" s="8">
        <v>43676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2:52">
      <c r="C209" t="s">
        <v>58</v>
      </c>
      <c r="D209" t="s">
        <v>384</v>
      </c>
      <c r="F209" s="1" t="s">
        <v>933</v>
      </c>
      <c r="G209" s="1" t="s">
        <v>934</v>
      </c>
      <c r="H209" t="s">
        <v>82</v>
      </c>
      <c r="I209" t="s">
        <v>931</v>
      </c>
      <c r="K209" t="s">
        <v>935</v>
      </c>
      <c r="L209" s="7">
        <v>7.4989999999999997</v>
      </c>
      <c r="M209" s="8">
        <v>43641</v>
      </c>
      <c r="N209">
        <v>6</v>
      </c>
      <c r="O209" t="s">
        <v>57</v>
      </c>
      <c r="P209">
        <v>2019</v>
      </c>
      <c r="Q209">
        <v>0.15029999999999999</v>
      </c>
      <c r="R209" s="10">
        <v>0.05</v>
      </c>
      <c r="S209">
        <f>ROUND(ТабCЕС[[#This Row],[Зелений Тариф ЕЦ]]+ТабCЕС[[#This Row],[Зелений Тариф ЕЦ]]*ТабCЕС[[#This Row],[% надбавки]],4)</f>
        <v>0.1578</v>
      </c>
      <c r="T209" s="8">
        <v>43676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0.79800000000000004</v>
      </c>
      <c r="AZ209">
        <v>1.258</v>
      </c>
    </row>
    <row r="210" spans="2:52">
      <c r="C210" t="s">
        <v>58</v>
      </c>
      <c r="D210" t="s">
        <v>384</v>
      </c>
      <c r="F210" s="1" t="s">
        <v>936</v>
      </c>
      <c r="G210" s="1" t="s">
        <v>937</v>
      </c>
      <c r="H210" t="s">
        <v>73</v>
      </c>
      <c r="K210" t="s">
        <v>938</v>
      </c>
      <c r="L210" s="7">
        <v>19.981999999999999</v>
      </c>
      <c r="M210" s="8">
        <v>43096</v>
      </c>
      <c r="N210">
        <v>12</v>
      </c>
      <c r="O210" t="s">
        <v>71</v>
      </c>
      <c r="P210">
        <v>2017</v>
      </c>
      <c r="Q210">
        <v>0.15029999999999999</v>
      </c>
      <c r="R210" s="10">
        <v>0.05</v>
      </c>
      <c r="S210">
        <f>ROUND(ТабCЕС[[#This Row],[Зелений Тариф ЕЦ]]+ТабCЕС[[#This Row],[Зелений Тариф ЕЦ]]*ТабCЕС[[#This Row],[% надбавки]],4)</f>
        <v>0.1578</v>
      </c>
      <c r="T210" s="8">
        <v>43144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1.0049999999999999</v>
      </c>
      <c r="AG210">
        <v>0.59799999999999998</v>
      </c>
      <c r="AH210">
        <v>0.92500000000000004</v>
      </c>
      <c r="AI210">
        <v>1.6240000000000001</v>
      </c>
      <c r="AJ210">
        <v>3.2730000000000001</v>
      </c>
      <c r="AK210">
        <v>3.4780000000000002</v>
      </c>
      <c r="AL210">
        <v>3.3220000000000001</v>
      </c>
      <c r="AM210">
        <v>3.0129999999999999</v>
      </c>
      <c r="AN210">
        <v>3.3210000000000002</v>
      </c>
      <c r="AO210">
        <v>2.1309999999999998</v>
      </c>
      <c r="AP210">
        <v>2.3620000000000001</v>
      </c>
      <c r="AQ210">
        <v>0.81299999999999994</v>
      </c>
      <c r="AR210">
        <v>0.376</v>
      </c>
      <c r="AS210">
        <v>0.55900000000000005</v>
      </c>
      <c r="AT210">
        <v>0.97899999999999998</v>
      </c>
      <c r="AU210">
        <v>2.3370000000000002</v>
      </c>
      <c r="AV210">
        <v>3</v>
      </c>
      <c r="AW210">
        <v>3.073</v>
      </c>
      <c r="AX210">
        <v>3.2629999999999999</v>
      </c>
      <c r="AY210">
        <v>3.238</v>
      </c>
      <c r="AZ210">
        <v>3.13</v>
      </c>
    </row>
    <row r="211" spans="2:52">
      <c r="C211" t="s">
        <v>58</v>
      </c>
      <c r="D211" t="s">
        <v>384</v>
      </c>
      <c r="F211" s="1" t="s">
        <v>939</v>
      </c>
      <c r="G211" s="1" t="s">
        <v>940</v>
      </c>
      <c r="H211" t="s">
        <v>73</v>
      </c>
      <c r="K211" t="s">
        <v>941</v>
      </c>
      <c r="L211" s="7">
        <v>17.920000000000002</v>
      </c>
      <c r="M211" s="8">
        <v>43300</v>
      </c>
      <c r="N211">
        <v>7</v>
      </c>
      <c r="O211" t="s">
        <v>60</v>
      </c>
      <c r="P211">
        <v>2018</v>
      </c>
      <c r="Q211">
        <v>0.15029999999999999</v>
      </c>
      <c r="R211" s="10">
        <v>0.05</v>
      </c>
      <c r="S211">
        <f>ROUND(ТабCЕС[[#This Row],[Зелений Тариф ЕЦ]]+ТабCЕС[[#This Row],[Зелений Тариф ЕЦ]]*ТабCЕС[[#This Row],[% надбавки]],4)</f>
        <v>0.1578</v>
      </c>
      <c r="T211" s="8">
        <v>43371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1.9710000000000001</v>
      </c>
      <c r="AO211">
        <v>2.012</v>
      </c>
      <c r="AP211">
        <v>2.1269999999999998</v>
      </c>
      <c r="AQ211">
        <v>0.749</v>
      </c>
      <c r="AR211">
        <v>0.26100000000000001</v>
      </c>
      <c r="AS211">
        <v>0.46500000000000002</v>
      </c>
      <c r="AT211">
        <v>0.88900000000000001</v>
      </c>
      <c r="AU211">
        <v>2.2160000000000002</v>
      </c>
      <c r="AV211">
        <v>2.6179999999999999</v>
      </c>
      <c r="AW211">
        <v>2.6819999999999999</v>
      </c>
      <c r="AX211">
        <v>2.8079999999999998</v>
      </c>
      <c r="AY211">
        <v>3.081</v>
      </c>
      <c r="AZ211">
        <v>2.9169999999999998</v>
      </c>
    </row>
    <row r="212" spans="2:52">
      <c r="C212" t="s">
        <v>58</v>
      </c>
      <c r="D212" t="s">
        <v>384</v>
      </c>
      <c r="F212" s="1" t="s">
        <v>942</v>
      </c>
      <c r="G212" s="1" t="s">
        <v>943</v>
      </c>
      <c r="H212" t="s">
        <v>73</v>
      </c>
      <c r="K212" t="s">
        <v>944</v>
      </c>
      <c r="L212" s="7">
        <v>21.757999999999999</v>
      </c>
      <c r="M212" s="8">
        <v>43277</v>
      </c>
      <c r="N212">
        <v>6</v>
      </c>
      <c r="O212" t="s">
        <v>57</v>
      </c>
      <c r="P212">
        <v>2018</v>
      </c>
      <c r="Q212">
        <v>0.15029999999999999</v>
      </c>
      <c r="R212" s="10">
        <v>0.05</v>
      </c>
      <c r="S212">
        <f>ROUND(ТабCЕС[[#This Row],[Зелений Тариф ЕЦ]]+ТабCЕС[[#This Row],[Зелений Тариф ЕЦ]]*ТабCЕС[[#This Row],[% надбавки]],4)</f>
        <v>0.1578</v>
      </c>
      <c r="T212" s="8">
        <v>43371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1.893</v>
      </c>
      <c r="AM212">
        <v>3.2309999999999999</v>
      </c>
      <c r="AN212">
        <v>3.681</v>
      </c>
      <c r="AO212">
        <v>2.4239999999999999</v>
      </c>
      <c r="AP212">
        <v>2.5569999999999999</v>
      </c>
      <c r="AQ212">
        <v>0.88700000000000001</v>
      </c>
      <c r="AR212">
        <v>0.311</v>
      </c>
      <c r="AS212">
        <v>0.54400000000000004</v>
      </c>
      <c r="AT212">
        <v>1.0389999999999999</v>
      </c>
      <c r="AU212">
        <v>2.7029999999999998</v>
      </c>
      <c r="AV212">
        <v>3.1760000000000002</v>
      </c>
      <c r="AW212">
        <v>3.2370000000000001</v>
      </c>
      <c r="AX212">
        <v>3.387</v>
      </c>
      <c r="AY212">
        <v>3.677</v>
      </c>
      <c r="AZ212">
        <v>3.472</v>
      </c>
    </row>
    <row r="213" spans="2:52">
      <c r="B213" t="s">
        <v>945</v>
      </c>
      <c r="C213">
        <v>37326260</v>
      </c>
      <c r="D213" t="s">
        <v>384</v>
      </c>
      <c r="F213" s="1" t="s">
        <v>946</v>
      </c>
      <c r="G213" s="1" t="s">
        <v>384</v>
      </c>
      <c r="H213" t="s">
        <v>82</v>
      </c>
      <c r="K213" t="s">
        <v>947</v>
      </c>
      <c r="L213" s="7">
        <v>29.306999999999999</v>
      </c>
      <c r="M213" s="8">
        <v>41340</v>
      </c>
      <c r="N213">
        <v>3</v>
      </c>
      <c r="O213" t="s">
        <v>67</v>
      </c>
      <c r="P213">
        <v>2013</v>
      </c>
      <c r="Q213">
        <v>0.25850000000000001</v>
      </c>
      <c r="R213" s="10"/>
      <c r="S213">
        <f>ROUND(ТабCЕС[[#This Row],[Зелений Тариф ЕЦ]]+ТабCЕС[[#This Row],[Зелений Тариф ЕЦ]]*ТабCЕС[[#This Row],[% надбавки]],4)</f>
        <v>0.25850000000000001</v>
      </c>
      <c r="T213" s="8"/>
      <c r="U213">
        <v>1.4530000000000001</v>
      </c>
      <c r="V213">
        <v>1.6879999999999999</v>
      </c>
      <c r="W213">
        <v>3.46</v>
      </c>
      <c r="X213">
        <v>3.9300000000000006</v>
      </c>
      <c r="Y213">
        <v>5.0830000000000002</v>
      </c>
      <c r="Z213">
        <v>4.8780000000000001</v>
      </c>
      <c r="AA213">
        <v>4.8629999999999995</v>
      </c>
      <c r="AB213">
        <v>4.4029999999999987</v>
      </c>
      <c r="AC213">
        <v>3.9550000000000018</v>
      </c>
      <c r="AD213">
        <v>1.9069999999999965</v>
      </c>
      <c r="AE213">
        <v>0.83100000000000307</v>
      </c>
      <c r="AF213">
        <v>0.69899999999999807</v>
      </c>
      <c r="AG213">
        <v>0.81200000000000006</v>
      </c>
      <c r="AH213">
        <v>1.1359999999999999</v>
      </c>
      <c r="AI213">
        <v>2.5009999999999999</v>
      </c>
      <c r="AJ213">
        <v>4.5910000000000002</v>
      </c>
      <c r="AK213">
        <v>5.0010000000000003</v>
      </c>
      <c r="AL213">
        <v>4.6180000000000003</v>
      </c>
      <c r="AM213">
        <v>4.5960000000000001</v>
      </c>
      <c r="AN213">
        <v>5.1079999999999997</v>
      </c>
      <c r="AO213">
        <v>3.3260000000000001</v>
      </c>
      <c r="AP213">
        <v>3.3959999999999999</v>
      </c>
      <c r="AQ213">
        <v>1.272</v>
      </c>
      <c r="AR213">
        <v>0.3</v>
      </c>
      <c r="AS213">
        <v>0.85799999999999998</v>
      </c>
      <c r="AT213">
        <v>1.3979999999999999</v>
      </c>
      <c r="AU213">
        <v>3.5790000000000002</v>
      </c>
      <c r="AV213">
        <v>4.2770000000000001</v>
      </c>
      <c r="AW213">
        <v>4.2359999999999998</v>
      </c>
      <c r="AX213">
        <v>4.6310000000000002</v>
      </c>
      <c r="AY213">
        <v>4.6390000000000002</v>
      </c>
      <c r="AZ213">
        <v>4.6289999999999996</v>
      </c>
    </row>
    <row r="214" spans="2:52">
      <c r="B214" t="s">
        <v>948</v>
      </c>
      <c r="C214">
        <v>30594406</v>
      </c>
      <c r="D214" t="s">
        <v>384</v>
      </c>
      <c r="F214" s="1" t="s">
        <v>949</v>
      </c>
      <c r="G214" s="1" t="s">
        <v>950</v>
      </c>
      <c r="H214" t="s">
        <v>172</v>
      </c>
      <c r="I214" t="s">
        <v>951</v>
      </c>
      <c r="J214" t="s">
        <v>952</v>
      </c>
      <c r="K214" t="s">
        <v>952</v>
      </c>
      <c r="L214" s="7">
        <v>0.15</v>
      </c>
      <c r="M214" s="8">
        <v>42320</v>
      </c>
      <c r="N214">
        <v>11</v>
      </c>
      <c r="O214" t="s">
        <v>71</v>
      </c>
      <c r="P214">
        <v>2015</v>
      </c>
      <c r="Q214">
        <v>0.1696</v>
      </c>
      <c r="R214" s="10"/>
      <c r="S214">
        <f>ROUND(ТабCЕС[[#This Row],[Зелений Тариф ЕЦ]]+ТабCЕС[[#This Row],[Зелений Тариф ЕЦ]]*ТабCЕС[[#This Row],[% надбавки]],4)</f>
        <v>0.1696</v>
      </c>
      <c r="T214" s="8"/>
      <c r="U214">
        <v>7.0000000000000062E-3</v>
      </c>
      <c r="V214">
        <v>7.0000000000000062E-3</v>
      </c>
      <c r="W214">
        <v>8.9999999999999872E-3</v>
      </c>
      <c r="X214">
        <v>1.9000000000000003E-2</v>
      </c>
      <c r="Y214">
        <v>2.1999999999999999E-2</v>
      </c>
      <c r="Z214">
        <v>2.2999999999999993E-2</v>
      </c>
      <c r="AA214">
        <v>2.2000000000000006E-2</v>
      </c>
      <c r="AB214">
        <v>2.2000000000000006E-2</v>
      </c>
      <c r="AC214">
        <v>1.4999999999999986E-2</v>
      </c>
      <c r="AD214">
        <v>7.0000000000000062E-3</v>
      </c>
      <c r="AE214">
        <v>3.0000000000000027E-3</v>
      </c>
      <c r="AF214">
        <v>1.0000000000000009E-3</v>
      </c>
      <c r="AG214">
        <v>4.0000000000000001E-3</v>
      </c>
      <c r="AH214">
        <v>8.9999999999999993E-3</v>
      </c>
      <c r="AI214">
        <v>1.4999999999999999E-2</v>
      </c>
      <c r="AJ214">
        <v>2.1000000000000001E-2</v>
      </c>
      <c r="AK214">
        <v>2.4E-2</v>
      </c>
      <c r="AL214">
        <v>2.1999999999999999E-2</v>
      </c>
      <c r="AM214">
        <v>2.1000000000000001E-2</v>
      </c>
      <c r="AN214">
        <v>2.1999999999999999E-2</v>
      </c>
      <c r="AO214">
        <v>1.4999999999999999E-2</v>
      </c>
      <c r="AP214">
        <v>1.2E-2</v>
      </c>
      <c r="AQ214">
        <v>4.0000000000000001E-3</v>
      </c>
      <c r="AR214">
        <v>2E-3</v>
      </c>
      <c r="AS214">
        <v>3.0000000000000001E-3</v>
      </c>
      <c r="AT214">
        <v>8.0000000000000002E-3</v>
      </c>
      <c r="AU214">
        <v>1.2999999999999999E-2</v>
      </c>
      <c r="AV214">
        <v>1.9E-2</v>
      </c>
      <c r="AW214">
        <v>1.7000000000000001E-2</v>
      </c>
      <c r="AX214">
        <v>2.5999999999999999E-2</v>
      </c>
      <c r="AY214">
        <v>2.1999999999999999E-2</v>
      </c>
      <c r="AZ214">
        <v>2.1999999999999999E-2</v>
      </c>
    </row>
    <row r="215" spans="2:52">
      <c r="B215" t="s">
        <v>953</v>
      </c>
      <c r="C215">
        <v>30594406</v>
      </c>
      <c r="D215" t="s">
        <v>384</v>
      </c>
      <c r="F215" s="1" t="s">
        <v>949</v>
      </c>
      <c r="G215" s="1" t="s">
        <v>954</v>
      </c>
      <c r="H215" t="s">
        <v>163</v>
      </c>
      <c r="J215" t="s">
        <v>955</v>
      </c>
      <c r="K215" t="s">
        <v>956</v>
      </c>
      <c r="L215" s="7">
        <v>6.3500000000000001E-2</v>
      </c>
      <c r="M215" s="8">
        <v>41809</v>
      </c>
      <c r="N215">
        <v>6</v>
      </c>
      <c r="O215" t="s">
        <v>57</v>
      </c>
      <c r="P215">
        <v>2014</v>
      </c>
      <c r="Q215">
        <v>0.33929999999999999</v>
      </c>
      <c r="R215" s="10"/>
      <c r="S215">
        <f>ROUND(ТабCЕС[[#This Row],[Зелений Тариф ЕЦ]]+ТабCЕС[[#This Row],[Зелений Тариф ЕЦ]]*ТабCЕС[[#This Row],[% надбавки]],4)</f>
        <v>0.33929999999999999</v>
      </c>
      <c r="T215" s="8"/>
      <c r="U215">
        <v>0</v>
      </c>
      <c r="V215">
        <v>0</v>
      </c>
      <c r="W215">
        <v>0.26500000000000001</v>
      </c>
      <c r="X215">
        <v>0.186</v>
      </c>
      <c r="Y215">
        <v>0.21400000000000002</v>
      </c>
      <c r="Z215">
        <v>0.22299999999999998</v>
      </c>
      <c r="AA215">
        <v>0.21000000000000008</v>
      </c>
      <c r="AB215">
        <v>0.20699999999999985</v>
      </c>
      <c r="AC215">
        <v>0.14800000000000013</v>
      </c>
      <c r="AD215">
        <v>0.10499999999999998</v>
      </c>
      <c r="AE215">
        <v>7.2999999999999954E-2</v>
      </c>
      <c r="AF215">
        <v>2.6000000000000023E-2</v>
      </c>
      <c r="AG215">
        <v>5.2999999999999999E-2</v>
      </c>
      <c r="AH215">
        <v>5.0999999999999997E-2</v>
      </c>
      <c r="AI215">
        <v>9.8000000000000004E-2</v>
      </c>
      <c r="AJ215">
        <v>0.20799999999999999</v>
      </c>
      <c r="AK215">
        <v>0.22600000000000001</v>
      </c>
      <c r="AL215">
        <v>0.19</v>
      </c>
      <c r="AM215">
        <v>0.186</v>
      </c>
      <c r="AN215">
        <v>0.219</v>
      </c>
      <c r="AO215">
        <v>0.14199999999999999</v>
      </c>
      <c r="AP215">
        <v>0.129</v>
      </c>
      <c r="AQ215">
        <v>3.5999999999999997E-2</v>
      </c>
      <c r="AR215">
        <v>0.02</v>
      </c>
      <c r="AS215">
        <v>2.5000000000000001E-2</v>
      </c>
      <c r="AT215">
        <v>5.7000000000000002E-2</v>
      </c>
      <c r="AU215">
        <v>0.13</v>
      </c>
      <c r="AV215">
        <v>0.18</v>
      </c>
      <c r="AW215">
        <v>0.17299999999999999</v>
      </c>
      <c r="AX215">
        <v>0.215</v>
      </c>
      <c r="AY215">
        <v>0.21199999999999999</v>
      </c>
      <c r="AZ215">
        <v>0.19700000000000001</v>
      </c>
    </row>
    <row r="216" spans="2:52">
      <c r="B216" t="s">
        <v>957</v>
      </c>
      <c r="C216">
        <v>30594406</v>
      </c>
      <c r="D216" t="s">
        <v>384</v>
      </c>
      <c r="F216" s="1" t="s">
        <v>949</v>
      </c>
      <c r="G216" s="1" t="s">
        <v>958</v>
      </c>
      <c r="H216" t="s">
        <v>163</v>
      </c>
      <c r="I216" t="s">
        <v>571</v>
      </c>
      <c r="J216" t="s">
        <v>959</v>
      </c>
      <c r="K216" t="s">
        <v>959</v>
      </c>
      <c r="L216" s="7">
        <v>6.3500000000000001E-2</v>
      </c>
      <c r="M216" s="8">
        <v>41725</v>
      </c>
      <c r="N216">
        <v>3</v>
      </c>
      <c r="O216" t="s">
        <v>67</v>
      </c>
      <c r="P216">
        <v>2014</v>
      </c>
      <c r="Q216">
        <v>0.33929999999999999</v>
      </c>
      <c r="R216" s="10"/>
      <c r="S216">
        <f>ROUND(ТабCЕС[[#This Row],[Зелений Тариф ЕЦ]]+ТабCЕС[[#This Row],[Зелений Тариф ЕЦ]]*ТабCЕС[[#This Row],[% надбавки]],4)</f>
        <v>0.33929999999999999</v>
      </c>
      <c r="T216" s="8"/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2:52">
      <c r="B217" t="s">
        <v>960</v>
      </c>
      <c r="C217">
        <v>30594406</v>
      </c>
      <c r="D217" t="s">
        <v>384</v>
      </c>
      <c r="F217" s="1" t="s">
        <v>949</v>
      </c>
      <c r="G217" s="1" t="s">
        <v>961</v>
      </c>
      <c r="H217" t="s">
        <v>198</v>
      </c>
      <c r="I217" t="s">
        <v>571</v>
      </c>
      <c r="J217" t="s">
        <v>959</v>
      </c>
      <c r="K217" t="s">
        <v>959</v>
      </c>
      <c r="L217" s="7">
        <v>0.20399999999999999</v>
      </c>
      <c r="M217" s="8">
        <v>41809</v>
      </c>
      <c r="N217">
        <v>6</v>
      </c>
      <c r="O217" t="s">
        <v>57</v>
      </c>
      <c r="P217">
        <v>2014</v>
      </c>
      <c r="Q217">
        <v>0.33929999999999999</v>
      </c>
      <c r="R217" s="10"/>
      <c r="S217">
        <f>ROUND(ТабCЕС[[#This Row],[Зелений Тариф ЕЦ]]+ТабCЕС[[#This Row],[Зелений Тариф ЕЦ]]*ТабCЕС[[#This Row],[% надбавки]],4)</f>
        <v>0.33929999999999999</v>
      </c>
      <c r="T217" s="8"/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2:52">
      <c r="B218" t="s">
        <v>962</v>
      </c>
      <c r="C218">
        <v>30594406</v>
      </c>
      <c r="D218" t="s">
        <v>384</v>
      </c>
      <c r="F218" s="1" t="s">
        <v>949</v>
      </c>
      <c r="G218" s="1" t="s">
        <v>963</v>
      </c>
      <c r="H218" t="s">
        <v>163</v>
      </c>
      <c r="I218" t="s">
        <v>964</v>
      </c>
      <c r="L218" s="7">
        <v>0.10299999999999999</v>
      </c>
      <c r="M218" s="8">
        <v>40909</v>
      </c>
      <c r="N218">
        <v>1</v>
      </c>
      <c r="O218" t="s">
        <v>67</v>
      </c>
      <c r="P218">
        <v>2012</v>
      </c>
      <c r="Q218">
        <v>0.46529999999999999</v>
      </c>
      <c r="R218" s="10"/>
      <c r="S218">
        <f>ROUND(ТабCЕС[[#This Row],[Зелений Тариф ЕЦ]]+ТабCЕС[[#This Row],[Зелений Тариф ЕЦ]]*ТабCЕС[[#This Row],[% надбавки]],4)</f>
        <v>0.46529999999999999</v>
      </c>
      <c r="T218" s="8"/>
      <c r="U218">
        <v>0.17499999999999999</v>
      </c>
      <c r="V218">
        <v>0.24</v>
      </c>
      <c r="W218">
        <v>0.186</v>
      </c>
      <c r="X218">
        <v>0.40999999999999992</v>
      </c>
      <c r="Y218">
        <v>0.4740000000000002</v>
      </c>
      <c r="Z218">
        <v>0.49199999999999999</v>
      </c>
      <c r="AA218">
        <v>0.46799999999999975</v>
      </c>
      <c r="AB218">
        <v>0.46300000000000008</v>
      </c>
      <c r="AC218">
        <v>0.3490000000000002</v>
      </c>
      <c r="AD218">
        <v>0.25499999999999989</v>
      </c>
      <c r="AE218">
        <v>0.17600000000000016</v>
      </c>
      <c r="AF218">
        <v>6.999999999999984E-2</v>
      </c>
      <c r="AG218">
        <v>0.124</v>
      </c>
      <c r="AH218">
        <v>0.121</v>
      </c>
      <c r="AI218">
        <v>0.23400000000000001</v>
      </c>
      <c r="AJ218">
        <v>0.45300000000000001</v>
      </c>
      <c r="AK218">
        <v>0.49399999999999999</v>
      </c>
      <c r="AL218">
        <v>0.41899999999999998</v>
      </c>
      <c r="AM218">
        <v>0.41299999999999998</v>
      </c>
      <c r="AN218">
        <v>0.49199999999999999</v>
      </c>
      <c r="AO218">
        <v>0.316</v>
      </c>
      <c r="AP218">
        <v>0.29099999999999998</v>
      </c>
      <c r="AQ218">
        <v>8.1000000000000003E-2</v>
      </c>
      <c r="AR218">
        <v>4.9000000000000002E-2</v>
      </c>
      <c r="AS218">
        <v>6.2E-2</v>
      </c>
      <c r="AT218">
        <v>0.129</v>
      </c>
      <c r="AU218">
        <v>0.30299999999999999</v>
      </c>
      <c r="AV218">
        <v>0.39600000000000002</v>
      </c>
      <c r="AW218">
        <v>0.38200000000000001</v>
      </c>
      <c r="AX218">
        <v>0.45500000000000002</v>
      </c>
      <c r="AY218">
        <v>0.46899999999999997</v>
      </c>
      <c r="AZ218">
        <v>0.438</v>
      </c>
    </row>
    <row r="219" spans="2:52">
      <c r="B219" t="s">
        <v>965</v>
      </c>
      <c r="C219">
        <v>30594406</v>
      </c>
      <c r="D219" t="s">
        <v>384</v>
      </c>
      <c r="F219" s="1" t="s">
        <v>949</v>
      </c>
      <c r="G219" s="1" t="s">
        <v>966</v>
      </c>
      <c r="H219" t="s">
        <v>198</v>
      </c>
      <c r="I219" t="s">
        <v>571</v>
      </c>
      <c r="J219" t="s">
        <v>959</v>
      </c>
      <c r="K219" t="s">
        <v>959</v>
      </c>
      <c r="L219" s="7">
        <v>0.71499999999999997</v>
      </c>
      <c r="M219" s="8">
        <v>41004</v>
      </c>
      <c r="N219">
        <v>4</v>
      </c>
      <c r="O219" t="s">
        <v>57</v>
      </c>
      <c r="P219">
        <v>2012</v>
      </c>
      <c r="Q219">
        <v>0.46529999999999999</v>
      </c>
      <c r="R219" s="10"/>
      <c r="S219">
        <f>ROUND(ТабCЕС[[#This Row],[Зелений Тариф ЕЦ]]+ТабCЕС[[#This Row],[Зелений Тариф ЕЦ]]*ТабCЕС[[#This Row],[% надбавки]],4)</f>
        <v>0.46529999999999999</v>
      </c>
      <c r="T219" s="8"/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2:52">
      <c r="B220" t="s">
        <v>967</v>
      </c>
      <c r="C220">
        <v>30594406</v>
      </c>
      <c r="D220" t="s">
        <v>384</v>
      </c>
      <c r="F220" s="1" t="s">
        <v>949</v>
      </c>
      <c r="G220" s="1" t="s">
        <v>968</v>
      </c>
      <c r="H220" t="s">
        <v>198</v>
      </c>
      <c r="I220" t="s">
        <v>571</v>
      </c>
      <c r="J220" t="s">
        <v>959</v>
      </c>
      <c r="K220" t="s">
        <v>959</v>
      </c>
      <c r="L220" s="7">
        <v>0.71499999999999997</v>
      </c>
      <c r="M220" s="8">
        <v>41179</v>
      </c>
      <c r="N220">
        <v>9</v>
      </c>
      <c r="O220" t="s">
        <v>60</v>
      </c>
      <c r="P220">
        <v>2012</v>
      </c>
      <c r="Q220">
        <v>0.46529999999999999</v>
      </c>
      <c r="R220" s="10"/>
      <c r="S220">
        <f>ROUND(ТабCЕС[[#This Row],[Зелений Тариф ЕЦ]]+ТабCЕС[[#This Row],[Зелений Тариф ЕЦ]]*ТабCЕС[[#This Row],[% надбавки]],4)</f>
        <v>0.46529999999999999</v>
      </c>
      <c r="T220" s="8"/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2:52">
      <c r="B221" t="s">
        <v>967</v>
      </c>
      <c r="C221">
        <v>30594406</v>
      </c>
      <c r="D221" t="s">
        <v>384</v>
      </c>
      <c r="F221" s="1" t="s">
        <v>949</v>
      </c>
      <c r="G221" s="1" t="s">
        <v>969</v>
      </c>
      <c r="H221" t="s">
        <v>198</v>
      </c>
      <c r="I221" t="s">
        <v>571</v>
      </c>
      <c r="J221" t="s">
        <v>959</v>
      </c>
      <c r="K221" t="s">
        <v>959</v>
      </c>
      <c r="L221" s="7">
        <v>2.5030000000000001</v>
      </c>
      <c r="M221" s="8">
        <v>41358</v>
      </c>
      <c r="N221">
        <v>3</v>
      </c>
      <c r="O221" t="s">
        <v>67</v>
      </c>
      <c r="P221">
        <v>2013</v>
      </c>
      <c r="Q221">
        <v>0.46529999999999999</v>
      </c>
      <c r="R221" s="10"/>
      <c r="S221">
        <f>ROUND(ТабCЕС[[#This Row],[Зелений Тариф ЕЦ]]+ТабCЕС[[#This Row],[Зелений Тариф ЕЦ]]*ТабCЕС[[#This Row],[% надбавки]],4)</f>
        <v>0.46529999999999999</v>
      </c>
      <c r="T221" s="8"/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2:52">
      <c r="B222" t="s">
        <v>970</v>
      </c>
      <c r="C222">
        <v>30594406</v>
      </c>
      <c r="D222" t="s">
        <v>384</v>
      </c>
      <c r="F222" s="1" t="s">
        <v>949</v>
      </c>
      <c r="G222" s="1" t="s">
        <v>971</v>
      </c>
      <c r="H222" t="s">
        <v>198</v>
      </c>
      <c r="I222" t="s">
        <v>571</v>
      </c>
      <c r="J222" t="s">
        <v>959</v>
      </c>
      <c r="K222" t="s">
        <v>959</v>
      </c>
      <c r="L222" s="7">
        <v>0.86099999999999999</v>
      </c>
      <c r="M222" s="8">
        <v>42999</v>
      </c>
      <c r="N222">
        <v>9</v>
      </c>
      <c r="O222" t="s">
        <v>60</v>
      </c>
      <c r="P222">
        <v>2017</v>
      </c>
      <c r="Q222">
        <v>0.15029999999999999</v>
      </c>
      <c r="R222" s="10"/>
      <c r="S222">
        <f>ROUND(ТабCЕС[[#This Row],[Зелений Тариф ЕЦ]]+ТабCЕС[[#This Row],[Зелений Тариф ЕЦ]]*ТабCЕС[[#This Row],[% надбавки]],4)</f>
        <v>0.15029999999999999</v>
      </c>
      <c r="T222" s="8"/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8.7999999999999995E-2</v>
      </c>
      <c r="AE222">
        <v>4.300000000000001E-2</v>
      </c>
      <c r="AF222">
        <v>2.1999999999999992E-2</v>
      </c>
      <c r="AG222">
        <v>3.9E-2</v>
      </c>
      <c r="AH222">
        <v>3.1E-2</v>
      </c>
      <c r="AI222">
        <v>6.6000000000000003E-2</v>
      </c>
      <c r="AJ222">
        <v>0.13500000000000001</v>
      </c>
      <c r="AK222">
        <v>0.14699999999999999</v>
      </c>
      <c r="AL222">
        <v>0.124</v>
      </c>
      <c r="AM222">
        <v>0.123</v>
      </c>
      <c r="AN222">
        <v>0.13600000000000001</v>
      </c>
      <c r="AO222">
        <v>9.1999999999999998E-2</v>
      </c>
      <c r="AP222">
        <v>8.3000000000000004E-2</v>
      </c>
      <c r="AQ222">
        <v>2.1999999999999999E-2</v>
      </c>
      <c r="AR222">
        <v>1.6E-2</v>
      </c>
      <c r="AS222">
        <v>1.9E-2</v>
      </c>
      <c r="AT222">
        <v>3.7999999999999999E-2</v>
      </c>
      <c r="AU222">
        <v>9.1999999999999998E-2</v>
      </c>
      <c r="AV222">
        <v>0.11799999999999999</v>
      </c>
      <c r="AW222">
        <v>0.108</v>
      </c>
      <c r="AX222">
        <v>0.13300000000000001</v>
      </c>
      <c r="AY222">
        <v>0.13700000000000001</v>
      </c>
      <c r="AZ222">
        <v>0.11700000000000001</v>
      </c>
    </row>
    <row r="223" spans="2:52">
      <c r="C223" t="s">
        <v>58</v>
      </c>
      <c r="D223" t="s">
        <v>384</v>
      </c>
      <c r="F223" s="1" t="s">
        <v>972</v>
      </c>
      <c r="G223" s="1" t="s">
        <v>973</v>
      </c>
      <c r="H223" t="s">
        <v>98</v>
      </c>
      <c r="K223" t="s">
        <v>974</v>
      </c>
      <c r="L223" s="7">
        <v>9.9489999999999998</v>
      </c>
      <c r="M223" s="8">
        <v>43455</v>
      </c>
      <c r="N223">
        <v>12</v>
      </c>
      <c r="O223" t="s">
        <v>71</v>
      </c>
      <c r="P223">
        <v>2018</v>
      </c>
      <c r="Q223">
        <v>0.15029999999999999</v>
      </c>
      <c r="R223" s="10"/>
      <c r="S223">
        <f>ROUND(ТабCЕС[[#This Row],[Зелений Тариф ЕЦ]]+ТабCЕС[[#This Row],[Зелений Тариф ЕЦ]]*ТабCЕС[[#This Row],[% надбавки]],4)</f>
        <v>0.15029999999999999</v>
      </c>
      <c r="T223" s="8"/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4.8000000000000001E-2</v>
      </c>
      <c r="AT223">
        <v>0.66300000000000003</v>
      </c>
      <c r="AU223">
        <v>0.96199999999999997</v>
      </c>
      <c r="AV223">
        <v>1.232</v>
      </c>
      <c r="AW223">
        <v>1.052</v>
      </c>
      <c r="AX223">
        <v>1.556</v>
      </c>
      <c r="AY223">
        <v>1.478</v>
      </c>
      <c r="AZ223">
        <v>1.522</v>
      </c>
    </row>
    <row r="224" spans="2:52">
      <c r="C224" t="s">
        <v>58</v>
      </c>
      <c r="D224" t="s">
        <v>384</v>
      </c>
      <c r="F224" s="1" t="s">
        <v>975</v>
      </c>
      <c r="G224" s="1" t="s">
        <v>976</v>
      </c>
      <c r="H224" t="s">
        <v>82</v>
      </c>
      <c r="K224" t="s">
        <v>977</v>
      </c>
      <c r="L224" s="7">
        <v>7.4989999999999997</v>
      </c>
      <c r="M224" s="8">
        <v>43613</v>
      </c>
      <c r="N224">
        <v>5</v>
      </c>
      <c r="O224" t="s">
        <v>57</v>
      </c>
      <c r="P224">
        <v>2019</v>
      </c>
      <c r="Q224">
        <v>0.15029999999999999</v>
      </c>
      <c r="R224" s="10">
        <v>0.05</v>
      </c>
      <c r="S224">
        <f>ROUND(ТабCЕС[[#This Row],[Зелений Тариф ЕЦ]]+ТабCЕС[[#This Row],[Зелений Тариф ЕЦ]]*ТабCЕС[[#This Row],[% надбавки]],4)</f>
        <v>0.1578</v>
      </c>
      <c r="T224" s="8">
        <v>43664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0.78200000000000003</v>
      </c>
      <c r="AY224">
        <v>1.19</v>
      </c>
      <c r="AZ224">
        <v>1.2450000000000001</v>
      </c>
    </row>
    <row r="225" spans="2:52">
      <c r="C225" t="s">
        <v>58</v>
      </c>
      <c r="D225" t="s">
        <v>384</v>
      </c>
      <c r="F225" s="1" t="s">
        <v>978</v>
      </c>
      <c r="G225" s="1" t="s">
        <v>408</v>
      </c>
      <c r="H225" t="s">
        <v>73</v>
      </c>
      <c r="K225" t="s">
        <v>979</v>
      </c>
      <c r="L225" s="7">
        <v>1.2350000000000001</v>
      </c>
      <c r="M225" s="8">
        <v>43431</v>
      </c>
      <c r="N225">
        <v>11</v>
      </c>
      <c r="O225" t="s">
        <v>71</v>
      </c>
      <c r="P225">
        <v>2018</v>
      </c>
      <c r="Q225">
        <v>0.15029999999999999</v>
      </c>
      <c r="R225" s="10"/>
      <c r="S225">
        <f>ROUND(ТабCЕС[[#This Row],[Зелений Тариф ЕЦ]]+ТабCЕС[[#This Row],[Зелений Тариф ЕЦ]]*ТабCЕС[[#This Row],[% надбавки]],4)</f>
        <v>0.15029999999999999</v>
      </c>
      <c r="T225" s="8"/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0.02</v>
      </c>
      <c r="AS225">
        <v>4.8000000000000001E-2</v>
      </c>
      <c r="AT225">
        <v>0.30499999999999999</v>
      </c>
      <c r="AU225">
        <v>0.60799999999999998</v>
      </c>
      <c r="AV225">
        <v>2.2690000000000001</v>
      </c>
      <c r="AW225">
        <v>2.452</v>
      </c>
      <c r="AX225">
        <v>2.2240000000000002</v>
      </c>
      <c r="AY225">
        <v>2.4260000000000002</v>
      </c>
      <c r="AZ225">
        <v>2.5139999999999998</v>
      </c>
    </row>
    <row r="226" spans="2:52">
      <c r="C226" t="s">
        <v>58</v>
      </c>
      <c r="D226" t="s">
        <v>384</v>
      </c>
      <c r="F226" s="1" t="s">
        <v>978</v>
      </c>
      <c r="G226" s="1" t="s">
        <v>410</v>
      </c>
      <c r="H226" t="s">
        <v>73</v>
      </c>
      <c r="K226" t="s">
        <v>980</v>
      </c>
      <c r="L226" s="7">
        <v>3.956</v>
      </c>
      <c r="M226" s="8">
        <v>43494</v>
      </c>
      <c r="N226">
        <v>1</v>
      </c>
      <c r="O226" t="s">
        <v>67</v>
      </c>
      <c r="P226">
        <v>2019</v>
      </c>
      <c r="Q226">
        <v>0.15029999999999999</v>
      </c>
      <c r="R226" s="10"/>
      <c r="S226">
        <f>ROUND(ТабCЕС[[#This Row],[Зелений Тариф ЕЦ]]+ТабCЕС[[#This Row],[Зелений Тариф ЕЦ]]*ТабCЕС[[#This Row],[% надбавки]],4)</f>
        <v>0.15029999999999999</v>
      </c>
      <c r="T226" s="8"/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2:52">
      <c r="C227" t="s">
        <v>58</v>
      </c>
      <c r="D227" t="s">
        <v>384</v>
      </c>
      <c r="F227" s="1" t="s">
        <v>978</v>
      </c>
      <c r="G227" s="1" t="s">
        <v>540</v>
      </c>
      <c r="H227" t="s">
        <v>73</v>
      </c>
      <c r="K227" t="s">
        <v>981</v>
      </c>
      <c r="L227" s="7">
        <v>10.548</v>
      </c>
      <c r="M227" s="8">
        <v>43550</v>
      </c>
      <c r="N227">
        <v>3</v>
      </c>
      <c r="O227" t="s">
        <v>67</v>
      </c>
      <c r="P227">
        <v>2019</v>
      </c>
      <c r="Q227">
        <v>0.15029999999999999</v>
      </c>
      <c r="R227" s="10"/>
      <c r="S227">
        <f>ROUND(ТабCЕС[[#This Row],[Зелений Тариф ЕЦ]]+ТабCЕС[[#This Row],[Зелений Тариф ЕЦ]]*ТабCЕС[[#This Row],[% надбавки]],4)</f>
        <v>0.15029999999999999</v>
      </c>
      <c r="T227" s="8"/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2:52">
      <c r="B228" t="s">
        <v>982</v>
      </c>
      <c r="C228">
        <v>24152329</v>
      </c>
      <c r="D228" t="s">
        <v>384</v>
      </c>
      <c r="F228" s="1" t="s">
        <v>983</v>
      </c>
      <c r="G228" s="1" t="s">
        <v>408</v>
      </c>
      <c r="H228" t="s">
        <v>136</v>
      </c>
      <c r="K228" t="s">
        <v>984</v>
      </c>
      <c r="L228" s="7">
        <v>1.331</v>
      </c>
      <c r="M228" s="8">
        <v>41389</v>
      </c>
      <c r="N228">
        <v>4</v>
      </c>
      <c r="O228" t="s">
        <v>57</v>
      </c>
      <c r="P228">
        <v>2013</v>
      </c>
      <c r="Q228">
        <v>0.46529999999999999</v>
      </c>
      <c r="R228" s="10"/>
      <c r="S228">
        <f>ROUND(ТабCЕС[[#This Row],[Зелений Тариф ЕЦ]]+ТабCЕС[[#This Row],[Зелений Тариф ЕЦ]]*ТабCЕС[[#This Row],[% надбавки]],4)</f>
        <v>0.46529999999999999</v>
      </c>
      <c r="T228" s="8"/>
      <c r="U228">
        <v>5.1999999999999998E-2</v>
      </c>
      <c r="V228">
        <v>7.3000000000000009E-2</v>
      </c>
      <c r="W228">
        <v>0.13800000000000001</v>
      </c>
      <c r="X228">
        <v>0.17499999999999999</v>
      </c>
      <c r="Y228">
        <v>0.20700000000000002</v>
      </c>
      <c r="Z228">
        <v>0.20199999999999996</v>
      </c>
      <c r="AA228">
        <v>0.20900000000000007</v>
      </c>
      <c r="AB228">
        <v>0.17999999999999994</v>
      </c>
      <c r="AC228">
        <v>0.16700000000000004</v>
      </c>
      <c r="AD228">
        <v>7.6999999999999957E-2</v>
      </c>
      <c r="AE228">
        <v>2.6999999999999913E-2</v>
      </c>
      <c r="AF228">
        <v>2.100000000000013E-2</v>
      </c>
      <c r="AG228">
        <v>2.1000000000000001E-2</v>
      </c>
      <c r="AH228">
        <v>4.8000000000000001E-2</v>
      </c>
      <c r="AI228">
        <v>0.10199999999999999</v>
      </c>
      <c r="AJ228">
        <v>0.182</v>
      </c>
      <c r="AK228">
        <v>0.216</v>
      </c>
      <c r="AL228">
        <v>0.20899999999999999</v>
      </c>
      <c r="AM228">
        <v>0.19600000000000001</v>
      </c>
      <c r="AN228">
        <v>0.20100000000000001</v>
      </c>
      <c r="AO228">
        <v>0.126</v>
      </c>
      <c r="AP228">
        <v>0.112</v>
      </c>
      <c r="AQ228">
        <v>5.2999999999999999E-2</v>
      </c>
      <c r="AR228">
        <v>8.9999999999999993E-3</v>
      </c>
      <c r="AS228">
        <v>1.7000000000000001E-2</v>
      </c>
      <c r="AT228">
        <v>6.8000000000000005E-2</v>
      </c>
      <c r="AU228">
        <v>0.13700000000000001</v>
      </c>
      <c r="AV228">
        <v>0.17599999999999999</v>
      </c>
      <c r="AW228">
        <v>0.18</v>
      </c>
      <c r="AX228">
        <v>0.21099999999999999</v>
      </c>
      <c r="AY228">
        <v>0.216</v>
      </c>
      <c r="AZ228">
        <v>0.20200000000000001</v>
      </c>
    </row>
    <row r="229" spans="2:52">
      <c r="B229" t="s">
        <v>985</v>
      </c>
      <c r="C229">
        <v>24152329</v>
      </c>
      <c r="D229" t="s">
        <v>384</v>
      </c>
      <c r="F229" s="1" t="s">
        <v>983</v>
      </c>
      <c r="G229" s="1" t="s">
        <v>410</v>
      </c>
      <c r="H229" t="s">
        <v>136</v>
      </c>
      <c r="K229" t="s">
        <v>986</v>
      </c>
      <c r="L229" s="7">
        <v>0.25</v>
      </c>
      <c r="M229" s="8">
        <v>42516</v>
      </c>
      <c r="N229">
        <v>5</v>
      </c>
      <c r="O229" t="s">
        <v>57</v>
      </c>
      <c r="P229">
        <v>2016</v>
      </c>
      <c r="Q229">
        <v>0.15989999999999999</v>
      </c>
      <c r="R229" s="10"/>
      <c r="S229">
        <f>ROUND(ТабCЕС[[#This Row],[Зелений Тариф ЕЦ]]+ТабCЕС[[#This Row],[Зелений Тариф ЕЦ]]*ТабCЕС[[#This Row],[% надбавки]],4)</f>
        <v>0.15989999999999999</v>
      </c>
      <c r="T229" s="8"/>
      <c r="U229">
        <v>0.01</v>
      </c>
      <c r="V229">
        <v>1.4E-2</v>
      </c>
      <c r="W229">
        <v>2.6000000000000002E-2</v>
      </c>
      <c r="X229">
        <v>3.5000000000000003E-2</v>
      </c>
      <c r="Y229">
        <v>4.3999999999999997E-2</v>
      </c>
      <c r="Z229">
        <v>4.3999999999999984E-2</v>
      </c>
      <c r="AA229">
        <v>2.4000000000000021E-2</v>
      </c>
      <c r="AB229">
        <v>3.5000000000000003E-2</v>
      </c>
      <c r="AC229">
        <v>3.3000000000000002E-2</v>
      </c>
      <c r="AD229">
        <v>1.2000000000000011E-2</v>
      </c>
      <c r="AE229">
        <v>4.9999999999999489E-3</v>
      </c>
      <c r="AF229">
        <v>4.0000000000000036E-3</v>
      </c>
      <c r="AG229">
        <v>5.0000000000000001E-3</v>
      </c>
      <c r="AH229">
        <v>8.9999999999999993E-3</v>
      </c>
      <c r="AI229">
        <v>1.9E-2</v>
      </c>
      <c r="AJ229">
        <v>0.03</v>
      </c>
      <c r="AK229">
        <v>3.7999999999999999E-2</v>
      </c>
      <c r="AL229">
        <v>3.9E-2</v>
      </c>
      <c r="AM229">
        <v>3.5000000000000003E-2</v>
      </c>
      <c r="AN229">
        <v>4.1000000000000002E-2</v>
      </c>
      <c r="AO229">
        <v>2.3E-2</v>
      </c>
      <c r="AP229">
        <v>1.7999999999999999E-2</v>
      </c>
      <c r="AQ229">
        <v>8.0000000000000002E-3</v>
      </c>
      <c r="AR229">
        <v>2E-3</v>
      </c>
      <c r="AS229">
        <v>3.0000000000000001E-3</v>
      </c>
      <c r="AT229">
        <v>7.0000000000000001E-3</v>
      </c>
      <c r="AU229">
        <v>1.2E-2</v>
      </c>
      <c r="AV229">
        <v>3.1E-2</v>
      </c>
      <c r="AW229">
        <v>3.7999999999999999E-2</v>
      </c>
      <c r="AX229">
        <v>4.2000000000000003E-2</v>
      </c>
      <c r="AY229">
        <v>4.1000000000000002E-2</v>
      </c>
      <c r="AZ229">
        <v>4.1000000000000002E-2</v>
      </c>
    </row>
    <row r="230" spans="2:52">
      <c r="C230" t="s">
        <v>58</v>
      </c>
      <c r="D230" t="s">
        <v>384</v>
      </c>
      <c r="F230" s="1" t="s">
        <v>987</v>
      </c>
      <c r="G230" s="1" t="s">
        <v>408</v>
      </c>
      <c r="H230" t="s">
        <v>136</v>
      </c>
      <c r="K230" t="s">
        <v>988</v>
      </c>
      <c r="L230" s="7">
        <v>2.7240000000000002</v>
      </c>
      <c r="M230" s="8">
        <v>43524</v>
      </c>
      <c r="N230">
        <v>2</v>
      </c>
      <c r="O230" t="s">
        <v>67</v>
      </c>
      <c r="P230">
        <v>2019</v>
      </c>
      <c r="Q230">
        <v>0.15029999999999999</v>
      </c>
      <c r="R230" s="10"/>
      <c r="S230">
        <f>ROUND(ТабCЕС[[#This Row],[Зелений Тариф ЕЦ]]+ТабCЕС[[#This Row],[Зелений Тариф ЕЦ]]*ТабCЕС[[#This Row],[% надбавки]],4)</f>
        <v>0.15029999999999999</v>
      </c>
      <c r="T230" s="8"/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0.35699999999999998</v>
      </c>
      <c r="AW230">
        <v>0.38300000000000001</v>
      </c>
      <c r="AX230">
        <v>0.44700000000000001</v>
      </c>
      <c r="AY230">
        <v>0.443</v>
      </c>
      <c r="AZ230">
        <v>0.61399999999999999</v>
      </c>
    </row>
    <row r="231" spans="2:52">
      <c r="C231" t="s">
        <v>58</v>
      </c>
      <c r="D231" t="s">
        <v>384</v>
      </c>
      <c r="F231" s="1" t="s">
        <v>987</v>
      </c>
      <c r="G231" s="1" t="s">
        <v>410</v>
      </c>
      <c r="H231" t="s">
        <v>136</v>
      </c>
      <c r="L231" s="7">
        <v>2.863</v>
      </c>
      <c r="M231" s="8">
        <v>43692</v>
      </c>
      <c r="N231">
        <v>8</v>
      </c>
      <c r="O231" t="s">
        <v>60</v>
      </c>
      <c r="P231">
        <v>2019</v>
      </c>
      <c r="Q231">
        <v>0.15029999999999999</v>
      </c>
      <c r="R231" s="10"/>
      <c r="S231">
        <f>ROUND(ТабCЕС[[#This Row],[Зелений Тариф ЕЦ]]+ТабCЕС[[#This Row],[Зелений Тариф ЕЦ]]*ТабCЕС[[#This Row],[% надбавки]],4)</f>
        <v>0.15029999999999999</v>
      </c>
      <c r="T231" s="8"/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2:52">
      <c r="C232" t="s">
        <v>58</v>
      </c>
      <c r="D232" t="s">
        <v>384</v>
      </c>
      <c r="F232" s="1" t="s">
        <v>989</v>
      </c>
      <c r="G232" s="1" t="s">
        <v>384</v>
      </c>
      <c r="H232" t="s">
        <v>65</v>
      </c>
      <c r="K232" t="s">
        <v>990</v>
      </c>
      <c r="L232" s="7">
        <v>5.9119999999999999</v>
      </c>
      <c r="M232" s="8">
        <v>43277</v>
      </c>
      <c r="N232">
        <v>6</v>
      </c>
      <c r="O232" t="s">
        <v>57</v>
      </c>
      <c r="P232">
        <v>2018</v>
      </c>
      <c r="Q232">
        <v>0.15029999999999999</v>
      </c>
      <c r="R232" s="10"/>
      <c r="S232">
        <f>ROUND(ТабCЕС[[#This Row],[Зелений Тариф ЕЦ]]+ТабCЕС[[#This Row],[Зелений Тариф ЕЦ]]*ТабCЕС[[#This Row],[% надбавки]],4)</f>
        <v>0.15029999999999999</v>
      </c>
      <c r="T232" s="8"/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0.52</v>
      </c>
      <c r="AN232">
        <v>0.80900000000000005</v>
      </c>
      <c r="AO232">
        <v>0.69</v>
      </c>
      <c r="AP232">
        <v>0.56399999999999995</v>
      </c>
      <c r="AQ232">
        <v>0.13100000000000001</v>
      </c>
      <c r="AR232">
        <v>7.0000000000000007E-2</v>
      </c>
      <c r="AS232">
        <v>0.09</v>
      </c>
      <c r="AT232">
        <v>0.38500000000000001</v>
      </c>
      <c r="AU232">
        <v>0.60699999999999998</v>
      </c>
      <c r="AV232">
        <v>0.70099999999999996</v>
      </c>
      <c r="AW232">
        <v>0.65</v>
      </c>
      <c r="AX232">
        <v>0.879</v>
      </c>
      <c r="AY232">
        <v>0.92700000000000005</v>
      </c>
      <c r="AZ232">
        <v>0.86399999999999999</v>
      </c>
    </row>
    <row r="233" spans="2:52">
      <c r="C233" t="s">
        <v>58</v>
      </c>
      <c r="D233" t="s">
        <v>384</v>
      </c>
      <c r="F233" s="1" t="s">
        <v>991</v>
      </c>
      <c r="G233" s="1" t="s">
        <v>992</v>
      </c>
      <c r="H233" t="s">
        <v>73</v>
      </c>
      <c r="K233" t="s">
        <v>993</v>
      </c>
      <c r="L233" s="7">
        <v>1.8120000000000001</v>
      </c>
      <c r="M233" s="8">
        <v>43396</v>
      </c>
      <c r="N233">
        <v>10</v>
      </c>
      <c r="O233" t="s">
        <v>71</v>
      </c>
      <c r="P233">
        <v>2018</v>
      </c>
      <c r="Q233">
        <v>0.15029999999999999</v>
      </c>
      <c r="R233" s="10"/>
      <c r="S233">
        <f>ROUND(ТабCЕС[[#This Row],[Зелений Тариф ЕЦ]]+ТабCЕС[[#This Row],[Зелений Тариф ЕЦ]]*ТабCЕС[[#This Row],[% надбавки]],4)</f>
        <v>0.15029999999999999</v>
      </c>
      <c r="T233" s="8"/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6.0999999999999999E-2</v>
      </c>
      <c r="AT233">
        <v>0.13800000000000001</v>
      </c>
      <c r="AU233">
        <v>0.33400000000000002</v>
      </c>
      <c r="AV233">
        <v>0.39600000000000002</v>
      </c>
      <c r="AW233">
        <v>0.41</v>
      </c>
      <c r="AX233">
        <v>0.152</v>
      </c>
      <c r="AY233">
        <v>0.46600000000000003</v>
      </c>
      <c r="AZ233">
        <v>0.45100000000000001</v>
      </c>
    </row>
    <row r="234" spans="2:52">
      <c r="C234" t="s">
        <v>58</v>
      </c>
      <c r="D234" t="s">
        <v>384</v>
      </c>
      <c r="F234" s="1" t="s">
        <v>991</v>
      </c>
      <c r="G234" s="1" t="s">
        <v>994</v>
      </c>
      <c r="H234" t="s">
        <v>73</v>
      </c>
      <c r="K234" t="s">
        <v>995</v>
      </c>
      <c r="L234" s="7">
        <v>1.0269999999999999</v>
      </c>
      <c r="M234" s="8">
        <v>43455</v>
      </c>
      <c r="N234">
        <v>12</v>
      </c>
      <c r="O234" t="s">
        <v>71</v>
      </c>
      <c r="P234">
        <v>2018</v>
      </c>
      <c r="Q234">
        <v>0.15029999999999999</v>
      </c>
      <c r="R234" s="10"/>
      <c r="S234">
        <f>ROUND(ТабCЕС[[#This Row],[Зелений Тариф ЕЦ]]+ТабCЕС[[#This Row],[Зелений Тариф ЕЦ]]*ТабCЕС[[#This Row],[% надбавки]],4)</f>
        <v>0.15029999999999999</v>
      </c>
      <c r="T234" s="8"/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2:52">
      <c r="C235" t="s">
        <v>58</v>
      </c>
      <c r="D235" t="s">
        <v>384</v>
      </c>
      <c r="F235" s="1" t="s">
        <v>996</v>
      </c>
      <c r="G235" s="1" t="s">
        <v>384</v>
      </c>
      <c r="H235" t="s">
        <v>73</v>
      </c>
      <c r="K235" t="s">
        <v>997</v>
      </c>
      <c r="L235" s="7">
        <v>9.9949999999999992</v>
      </c>
      <c r="M235" s="8">
        <v>43581</v>
      </c>
      <c r="N235">
        <v>4</v>
      </c>
      <c r="O235" t="s">
        <v>57</v>
      </c>
      <c r="P235">
        <v>2019</v>
      </c>
      <c r="Q235">
        <v>0.15029999999999999</v>
      </c>
      <c r="R235" s="10"/>
      <c r="S235">
        <f>ROUND(ТабCЕС[[#This Row],[Зелений Тариф ЕЦ]]+ТабCЕС[[#This Row],[Зелений Тариф ЕЦ]]*ТабCЕС[[#This Row],[% надбавки]],4)</f>
        <v>0.15029999999999999</v>
      </c>
      <c r="T235" s="8"/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3.0000000000000001E-3</v>
      </c>
      <c r="AX235">
        <v>1.339</v>
      </c>
      <c r="AY235">
        <v>1.679</v>
      </c>
      <c r="AZ235">
        <v>1.6459999999999999</v>
      </c>
    </row>
    <row r="236" spans="2:52">
      <c r="C236" t="s">
        <v>58</v>
      </c>
      <c r="D236" t="s">
        <v>384</v>
      </c>
      <c r="F236" s="1" t="s">
        <v>998</v>
      </c>
      <c r="G236" s="1" t="s">
        <v>384</v>
      </c>
      <c r="H236" t="s">
        <v>255</v>
      </c>
      <c r="K236" t="s">
        <v>999</v>
      </c>
      <c r="L236" s="7">
        <v>0.08</v>
      </c>
      <c r="M236" s="8">
        <v>43130</v>
      </c>
      <c r="N236">
        <v>1</v>
      </c>
      <c r="O236" t="s">
        <v>67</v>
      </c>
      <c r="P236">
        <v>2018</v>
      </c>
      <c r="Q236">
        <v>0.15029999999999999</v>
      </c>
      <c r="R236" s="10"/>
      <c r="S236">
        <f>ROUND(ТабCЕС[[#This Row],[Зелений Тариф ЕЦ]]+ТабCЕС[[#This Row],[Зелений Тариф ЕЦ]]*ТабCЕС[[#This Row],[% надбавки]],4)</f>
        <v>0.15029999999999999</v>
      </c>
      <c r="T236" s="8"/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2E-3</v>
      </c>
      <c r="AT236">
        <v>4.0000000000000001E-3</v>
      </c>
      <c r="AU236">
        <v>8.0000000000000002E-3</v>
      </c>
      <c r="AV236">
        <v>1.0999999999999999E-2</v>
      </c>
      <c r="AW236">
        <v>1.0999999999999999E-2</v>
      </c>
      <c r="AX236">
        <v>1.4E-2</v>
      </c>
      <c r="AY236">
        <v>1.2999999999999999E-2</v>
      </c>
      <c r="AZ236">
        <v>1.2999999999999999E-2</v>
      </c>
    </row>
    <row r="237" spans="2:52">
      <c r="C237" t="s">
        <v>58</v>
      </c>
      <c r="D237" t="s">
        <v>384</v>
      </c>
      <c r="F237" s="1" t="s">
        <v>1000</v>
      </c>
      <c r="G237" s="1" t="s">
        <v>384</v>
      </c>
      <c r="H237" t="s">
        <v>198</v>
      </c>
      <c r="K237" t="s">
        <v>1001</v>
      </c>
      <c r="L237" s="7">
        <v>7.08</v>
      </c>
      <c r="M237" s="8">
        <v>43627</v>
      </c>
      <c r="N237">
        <v>6</v>
      </c>
      <c r="O237" t="s">
        <v>57</v>
      </c>
      <c r="P237">
        <v>2019</v>
      </c>
      <c r="Q237">
        <v>0.15029999999999999</v>
      </c>
      <c r="R237" s="10"/>
      <c r="S237">
        <f>ROUND(ТабCЕС[[#This Row],[Зелений Тариф ЕЦ]]+ТабCЕС[[#This Row],[Зелений Тариф ЕЦ]]*ТабCЕС[[#This Row],[% надбавки]],4)</f>
        <v>0.15029999999999999</v>
      </c>
      <c r="T237" s="8"/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0.98699999999999999</v>
      </c>
    </row>
    <row r="238" spans="2:52">
      <c r="B238" t="s">
        <v>1002</v>
      </c>
      <c r="C238">
        <v>39046278</v>
      </c>
      <c r="D238" t="s">
        <v>384</v>
      </c>
      <c r="F238" s="1" t="s">
        <v>1003</v>
      </c>
      <c r="G238" s="1" t="s">
        <v>384</v>
      </c>
      <c r="H238" t="s">
        <v>198</v>
      </c>
      <c r="K238" t="s">
        <v>1004</v>
      </c>
      <c r="L238" s="7">
        <v>3.18</v>
      </c>
      <c r="M238" s="8">
        <v>42509</v>
      </c>
      <c r="N238">
        <v>5</v>
      </c>
      <c r="O238" t="s">
        <v>57</v>
      </c>
      <c r="P238">
        <v>2016</v>
      </c>
      <c r="Q238">
        <v>0.15989999999999999</v>
      </c>
      <c r="R238" s="10">
        <v>0.05</v>
      </c>
      <c r="S238">
        <f>ROUND(ТабCЕС[[#This Row],[Зелений Тариф ЕЦ]]+ТабCЕС[[#This Row],[Зелений Тариф ЕЦ]]*ТабCЕС[[#This Row],[% надбавки]],4)</f>
        <v>0.16789999999999999</v>
      </c>
      <c r="T238" s="8">
        <v>42999</v>
      </c>
      <c r="U238">
        <v>0.34</v>
      </c>
      <c r="V238">
        <v>0.58400000000000007</v>
      </c>
      <c r="W238">
        <v>0.93600000000000005</v>
      </c>
      <c r="X238">
        <v>1.4690000000000001</v>
      </c>
      <c r="Y238">
        <v>1.5909999999999997</v>
      </c>
      <c r="Z238">
        <v>1.6280000000000001</v>
      </c>
      <c r="AA238">
        <v>1.6069999999999993</v>
      </c>
      <c r="AB238">
        <v>1.543000000000001</v>
      </c>
      <c r="AC238">
        <v>1.1079999999999988</v>
      </c>
      <c r="AD238">
        <v>0.61100000000000065</v>
      </c>
      <c r="AE238">
        <v>0.26399999999999935</v>
      </c>
      <c r="AF238">
        <v>0.15700000000000003</v>
      </c>
      <c r="AG238">
        <v>0.35</v>
      </c>
      <c r="AH238">
        <v>0.51300000000000001</v>
      </c>
      <c r="AI238">
        <v>0.92200000000000004</v>
      </c>
      <c r="AJ238">
        <v>1.575</v>
      </c>
      <c r="AK238">
        <v>1.6639999999999999</v>
      </c>
      <c r="AL238">
        <v>1.385</v>
      </c>
      <c r="AM238">
        <v>1.4259999999999999</v>
      </c>
      <c r="AN238">
        <v>1.6040000000000001</v>
      </c>
      <c r="AO238">
        <v>1.1080000000000001</v>
      </c>
      <c r="AP238">
        <v>1.034</v>
      </c>
      <c r="AQ238">
        <v>0.252</v>
      </c>
      <c r="AR238">
        <v>0.11799999999999999</v>
      </c>
      <c r="AS238">
        <v>0.155</v>
      </c>
      <c r="AT238">
        <v>0.46100000000000002</v>
      </c>
      <c r="AU238">
        <v>0.92700000000000005</v>
      </c>
      <c r="AV238">
        <v>1.353</v>
      </c>
      <c r="AW238">
        <v>1.2749999999999999</v>
      </c>
      <c r="AX238">
        <v>1.726</v>
      </c>
      <c r="AY238">
        <v>1.542</v>
      </c>
      <c r="AZ238">
        <v>1.579</v>
      </c>
    </row>
    <row r="239" spans="2:52">
      <c r="B239" t="s">
        <v>1005</v>
      </c>
      <c r="C239">
        <v>39046278</v>
      </c>
      <c r="D239" t="s">
        <v>384</v>
      </c>
      <c r="F239" s="1" t="s">
        <v>1003</v>
      </c>
      <c r="G239" s="1" t="s">
        <v>384</v>
      </c>
      <c r="H239" t="s">
        <v>198</v>
      </c>
      <c r="K239" t="s">
        <v>1006</v>
      </c>
      <c r="L239" s="7">
        <v>6.8179999999999996</v>
      </c>
      <c r="M239" s="8">
        <v>42531</v>
      </c>
      <c r="N239">
        <v>6</v>
      </c>
      <c r="O239" t="s">
        <v>57</v>
      </c>
      <c r="P239">
        <v>2016</v>
      </c>
      <c r="Q239">
        <v>0.15989999999999999</v>
      </c>
      <c r="R239" s="10">
        <v>0.05</v>
      </c>
      <c r="S239">
        <f>ROUND(ТабCЕС[[#This Row],[Зелений Тариф ЕЦ]]+ТабCЕС[[#This Row],[Зелений Тариф ЕЦ]]*ТабCЕС[[#This Row],[% надбавки]],4)</f>
        <v>0.16789999999999999</v>
      </c>
      <c r="T239" s="8">
        <v>42999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2:52">
      <c r="C240" t="s">
        <v>58</v>
      </c>
      <c r="D240" t="s">
        <v>384</v>
      </c>
      <c r="F240" s="1" t="s">
        <v>1007</v>
      </c>
      <c r="G240" s="1" t="s">
        <v>1008</v>
      </c>
      <c r="H240" t="s">
        <v>172</v>
      </c>
      <c r="K240" t="s">
        <v>1009</v>
      </c>
      <c r="L240" s="7">
        <v>63.8</v>
      </c>
      <c r="M240" s="8">
        <v>43476</v>
      </c>
      <c r="N240">
        <v>1</v>
      </c>
      <c r="O240" t="s">
        <v>67</v>
      </c>
      <c r="P240">
        <v>2019</v>
      </c>
      <c r="Q240">
        <v>0.15029999999999999</v>
      </c>
      <c r="R240" s="10">
        <v>0.05</v>
      </c>
      <c r="S240">
        <f>ROUND(ТабCЕС[[#This Row],[Зелений Тариф ЕЦ]]+ТабCЕС[[#This Row],[Зелений Тариф ЕЦ]]*ТабCЕС[[#This Row],[% надбавки]],4)</f>
        <v>0.1578</v>
      </c>
      <c r="T240" s="8">
        <v>43476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2.2909999999999999</v>
      </c>
      <c r="AU240">
        <v>6.3929999999999998</v>
      </c>
      <c r="AV240">
        <v>7.9560000000000004</v>
      </c>
      <c r="AW240">
        <v>7.8550000000000004</v>
      </c>
      <c r="AX240">
        <v>10.606</v>
      </c>
      <c r="AY240">
        <v>10.026999999999999</v>
      </c>
      <c r="AZ240">
        <v>9.84</v>
      </c>
    </row>
    <row r="241" spans="2:52">
      <c r="B241" t="s">
        <v>1010</v>
      </c>
      <c r="C241">
        <v>37772754</v>
      </c>
      <c r="D241" t="s">
        <v>384</v>
      </c>
      <c r="F241" s="1" t="s">
        <v>1011</v>
      </c>
      <c r="G241" s="1" t="s">
        <v>384</v>
      </c>
      <c r="H241" t="s">
        <v>198</v>
      </c>
      <c r="K241" t="s">
        <v>1012</v>
      </c>
      <c r="L241" s="7">
        <v>7.9820000000000002</v>
      </c>
      <c r="M241" s="8">
        <v>41795</v>
      </c>
      <c r="N241">
        <v>6</v>
      </c>
      <c r="O241" t="s">
        <v>57</v>
      </c>
      <c r="P241">
        <v>2014</v>
      </c>
      <c r="Q241">
        <v>0.33929999999999999</v>
      </c>
      <c r="R241" s="10"/>
      <c r="S241">
        <f>ROUND(ТабCЕС[[#This Row],[Зелений Тариф ЕЦ]]+ТабCЕС[[#This Row],[Зелений Тариф ЕЦ]]*ТабCЕС[[#This Row],[% надбавки]],4)</f>
        <v>0.33929999999999999</v>
      </c>
      <c r="T241" s="8"/>
      <c r="U241">
        <v>0.251</v>
      </c>
      <c r="V241">
        <v>0.44999999999999996</v>
      </c>
      <c r="W241">
        <v>0.80999999999999994</v>
      </c>
      <c r="X241">
        <v>1.1340000000000001</v>
      </c>
      <c r="Y241">
        <v>1.2719999999999998</v>
      </c>
      <c r="Z241">
        <v>1.3200000000000003</v>
      </c>
      <c r="AA241">
        <v>1.2549999999999999</v>
      </c>
      <c r="AB241">
        <v>1.1980000000000004</v>
      </c>
      <c r="AC241">
        <v>0.87999999999999989</v>
      </c>
      <c r="AD241">
        <v>0.4789999999999992</v>
      </c>
      <c r="AE241">
        <v>0.21000000000000085</v>
      </c>
      <c r="AF241">
        <v>0.12899999999999956</v>
      </c>
      <c r="AG241">
        <v>0.28699999999999998</v>
      </c>
      <c r="AH241">
        <v>0.36399999999999999</v>
      </c>
      <c r="AI241">
        <v>0.68899999999999995</v>
      </c>
      <c r="AJ241">
        <v>1.2709999999999999</v>
      </c>
      <c r="AK241">
        <v>1.339</v>
      </c>
      <c r="AL241">
        <v>1.1599999999999999</v>
      </c>
      <c r="AM241">
        <v>1.1519999999999999</v>
      </c>
      <c r="AN241">
        <v>1.345</v>
      </c>
      <c r="AO241">
        <v>0.88300000000000001</v>
      </c>
      <c r="AP241">
        <v>0.82599999999999996</v>
      </c>
      <c r="AQ241">
        <v>0.20899999999999999</v>
      </c>
      <c r="AR241">
        <v>0.11799999999999999</v>
      </c>
      <c r="AS241">
        <v>0.113</v>
      </c>
      <c r="AT241">
        <v>0.33700000000000002</v>
      </c>
      <c r="AU241">
        <v>0.76200000000000001</v>
      </c>
      <c r="AV241">
        <v>1.0860000000000001</v>
      </c>
      <c r="AW241">
        <v>1.0900000000000001</v>
      </c>
      <c r="AX241">
        <v>1.337</v>
      </c>
      <c r="AY241">
        <v>1.2310000000000001</v>
      </c>
      <c r="AZ241">
        <v>1.224</v>
      </c>
    </row>
    <row r="242" spans="2:52">
      <c r="B242" t="s">
        <v>1013</v>
      </c>
      <c r="C242">
        <v>37772754</v>
      </c>
      <c r="D242" t="s">
        <v>384</v>
      </c>
      <c r="F242" s="1" t="s">
        <v>1011</v>
      </c>
      <c r="G242" s="1" t="s">
        <v>384</v>
      </c>
      <c r="H242" t="s">
        <v>198</v>
      </c>
      <c r="K242" t="s">
        <v>1014</v>
      </c>
      <c r="L242" s="7">
        <v>8.2260000000000009</v>
      </c>
      <c r="M242" s="8">
        <v>42712</v>
      </c>
      <c r="N242">
        <v>12</v>
      </c>
      <c r="O242" t="s">
        <v>71</v>
      </c>
      <c r="P242">
        <v>2016</v>
      </c>
      <c r="Q242">
        <v>0.15989999999999999</v>
      </c>
      <c r="R242" s="10">
        <v>0.05</v>
      </c>
      <c r="S242">
        <f>ROUND(ТабCЕС[[#This Row],[Зелений Тариф ЕЦ]]+ТабCЕС[[#This Row],[Зелений Тариф ЕЦ]]*ТабCЕС[[#This Row],[% надбавки]],4)</f>
        <v>0.16789999999999999</v>
      </c>
      <c r="T242" s="8">
        <v>43277</v>
      </c>
      <c r="U242">
        <v>0.28000000000000003</v>
      </c>
      <c r="V242">
        <v>0.47099999999999997</v>
      </c>
      <c r="W242">
        <v>0.74400000000000011</v>
      </c>
      <c r="X242">
        <v>1.19</v>
      </c>
      <c r="Y242">
        <v>1.3160000000000003</v>
      </c>
      <c r="Z242">
        <v>1.3689999999999998</v>
      </c>
      <c r="AA242">
        <v>1.3339999999999996</v>
      </c>
      <c r="AB242">
        <v>1.2670000000000003</v>
      </c>
      <c r="AC242">
        <v>0.91000000000000014</v>
      </c>
      <c r="AD242">
        <v>0.48199999999999932</v>
      </c>
      <c r="AE242">
        <v>0.22300000000000075</v>
      </c>
      <c r="AF242">
        <v>0.13499999999999979</v>
      </c>
      <c r="AG242">
        <v>0.26</v>
      </c>
      <c r="AH242">
        <v>0.39700000000000002</v>
      </c>
      <c r="AI242">
        <v>0.76100000000000001</v>
      </c>
      <c r="AJ242">
        <v>1.2769999999999999</v>
      </c>
      <c r="AK242">
        <v>1.407</v>
      </c>
      <c r="AL242">
        <v>1.1850000000000001</v>
      </c>
      <c r="AM242">
        <v>1.224</v>
      </c>
      <c r="AN242">
        <v>1.37</v>
      </c>
      <c r="AO242">
        <v>0.91100000000000003</v>
      </c>
      <c r="AP242">
        <v>0.83399999999999996</v>
      </c>
      <c r="AQ242">
        <v>0.20100000000000001</v>
      </c>
      <c r="AR242">
        <v>9.7000000000000003E-2</v>
      </c>
      <c r="AS242">
        <v>0.13600000000000001</v>
      </c>
      <c r="AT242">
        <v>0.372</v>
      </c>
      <c r="AU242">
        <v>0.74099999999999999</v>
      </c>
      <c r="AV242">
        <v>1.107</v>
      </c>
      <c r="AW242">
        <v>1.0509999999999999</v>
      </c>
      <c r="AX242">
        <v>1.429</v>
      </c>
      <c r="AY242">
        <v>1.2949999999999999</v>
      </c>
      <c r="AZ242">
        <v>1.3320000000000001</v>
      </c>
    </row>
    <row r="243" spans="2:52">
      <c r="B243" t="s">
        <v>1015</v>
      </c>
      <c r="C243">
        <v>37772754</v>
      </c>
      <c r="D243" t="s">
        <v>384</v>
      </c>
      <c r="F243" s="1" t="s">
        <v>1011</v>
      </c>
      <c r="G243" s="1" t="s">
        <v>1016</v>
      </c>
      <c r="H243" t="s">
        <v>73</v>
      </c>
      <c r="K243" t="s">
        <v>1017</v>
      </c>
      <c r="L243" s="7">
        <v>18.064</v>
      </c>
      <c r="M243" s="8">
        <v>43277</v>
      </c>
      <c r="N243">
        <v>6</v>
      </c>
      <c r="O243" t="s">
        <v>57</v>
      </c>
      <c r="P243">
        <v>2018</v>
      </c>
      <c r="Q243">
        <v>0.15029999999999999</v>
      </c>
      <c r="R243" s="10">
        <v>0.05</v>
      </c>
      <c r="S243">
        <f>ROUND(ТабCЕС[[#This Row],[Зелений Тариф ЕЦ]]+ТабCЕС[[#This Row],[Зелений Тариф ЕЦ]]*ТабCЕС[[#This Row],[% надбавки]],4)</f>
        <v>0.1578</v>
      </c>
      <c r="T243" s="8">
        <v>43371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0.747</v>
      </c>
      <c r="AM243">
        <v>2.5470000000000002</v>
      </c>
      <c r="AN243">
        <v>3.1509999999999998</v>
      </c>
      <c r="AO243">
        <v>2.1230000000000002</v>
      </c>
      <c r="AP243">
        <v>2.1869999999999998</v>
      </c>
      <c r="AQ243">
        <v>0.79600000000000004</v>
      </c>
      <c r="AR243">
        <v>0.34300000000000003</v>
      </c>
      <c r="AS243">
        <v>0.439</v>
      </c>
      <c r="AT243">
        <v>0.94799999999999995</v>
      </c>
      <c r="AU243">
        <v>2.3740000000000001</v>
      </c>
      <c r="AV243">
        <v>2.7130000000000001</v>
      </c>
      <c r="AW243">
        <v>2.7770000000000001</v>
      </c>
      <c r="AX243">
        <v>2.8580000000000001</v>
      </c>
      <c r="AY243">
        <v>2.9820000000000002</v>
      </c>
      <c r="AZ243">
        <v>2.9049999999999998</v>
      </c>
    </row>
    <row r="244" spans="2:52">
      <c r="C244" t="s">
        <v>58</v>
      </c>
      <c r="D244" t="s">
        <v>384</v>
      </c>
      <c r="F244" s="1" t="s">
        <v>1018</v>
      </c>
      <c r="G244" s="1" t="s">
        <v>1019</v>
      </c>
      <c r="H244" t="s">
        <v>122</v>
      </c>
      <c r="K244" t="s">
        <v>1020</v>
      </c>
      <c r="L244" s="7">
        <v>4.2380000000000004</v>
      </c>
      <c r="M244" s="8">
        <v>43548</v>
      </c>
      <c r="N244">
        <v>3</v>
      </c>
      <c r="O244" t="s">
        <v>67</v>
      </c>
      <c r="P244">
        <v>2019</v>
      </c>
      <c r="Q244">
        <v>0.15029999999999999</v>
      </c>
      <c r="R244" s="10"/>
      <c r="S244">
        <f>ROUND(ТабCЕС[[#This Row],[Зелений Тариф ЕЦ]]+ТабCЕС[[#This Row],[Зелений Тариф ЕЦ]]*ТабCЕС[[#This Row],[% надбавки]],4)</f>
        <v>0.15029999999999999</v>
      </c>
      <c r="T244" s="8"/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2:52">
      <c r="B245" t="s">
        <v>1021</v>
      </c>
      <c r="C245">
        <v>36837375</v>
      </c>
      <c r="D245" t="s">
        <v>384</v>
      </c>
      <c r="F245" s="1" t="s">
        <v>1022</v>
      </c>
      <c r="G245" s="1" t="s">
        <v>384</v>
      </c>
      <c r="H245" t="s">
        <v>101</v>
      </c>
      <c r="K245" t="s">
        <v>1023</v>
      </c>
      <c r="L245" s="7">
        <v>27.356000000000002</v>
      </c>
      <c r="M245" s="8">
        <v>41382</v>
      </c>
      <c r="N245">
        <v>4</v>
      </c>
      <c r="O245" t="s">
        <v>57</v>
      </c>
      <c r="P245">
        <v>2013</v>
      </c>
      <c r="Q245">
        <v>0.25850000000000001</v>
      </c>
      <c r="R245" s="10"/>
      <c r="S245">
        <f>ROUND(ТабCЕС[[#This Row],[Зелений Тариф ЕЦ]]+ТабCЕС[[#This Row],[Зелений Тариф ЕЦ]]*ТабCЕС[[#This Row],[% надбавки]],4)</f>
        <v>0.25850000000000001</v>
      </c>
      <c r="T245" s="8"/>
      <c r="U245">
        <v>1.4790000000000001</v>
      </c>
      <c r="V245">
        <v>2.141</v>
      </c>
      <c r="W245">
        <v>3.2160000000000002</v>
      </c>
      <c r="X245">
        <v>3.8309999999999995</v>
      </c>
      <c r="Y245">
        <v>4.5250000000000004</v>
      </c>
      <c r="Z245">
        <v>4.593</v>
      </c>
      <c r="AA245">
        <v>4.57</v>
      </c>
      <c r="AB245">
        <v>4.5859999999999985</v>
      </c>
      <c r="AC245">
        <v>3.7930000000000028</v>
      </c>
      <c r="AD245">
        <v>2.6610000000000014</v>
      </c>
      <c r="AE245">
        <v>1.2319999999999993</v>
      </c>
      <c r="AF245">
        <v>1.2479999999999976</v>
      </c>
      <c r="AG245">
        <v>1.0629999999999999</v>
      </c>
      <c r="AH245">
        <v>1.2569999999999999</v>
      </c>
      <c r="AI245">
        <v>2.54</v>
      </c>
      <c r="AJ245">
        <v>4.5819999999999999</v>
      </c>
      <c r="AK245">
        <v>4.6559999999999997</v>
      </c>
      <c r="AL245">
        <v>4.58</v>
      </c>
      <c r="AM245">
        <v>4.05</v>
      </c>
      <c r="AN245">
        <v>4.7359999999999998</v>
      </c>
      <c r="AO245">
        <v>3.431</v>
      </c>
      <c r="AP245">
        <v>3.2959999999999998</v>
      </c>
      <c r="AQ245">
        <v>0.80900000000000005</v>
      </c>
      <c r="AR245">
        <v>0.98499999999999999</v>
      </c>
      <c r="AS245">
        <v>1.171</v>
      </c>
      <c r="AT245">
        <v>1.831</v>
      </c>
      <c r="AU245">
        <v>4.03</v>
      </c>
      <c r="AV245">
        <v>3.6080000000000001</v>
      </c>
      <c r="AW245">
        <v>4.1890000000000001</v>
      </c>
      <c r="AX245">
        <v>4.4909999999999997</v>
      </c>
      <c r="AY245">
        <v>4.3319999999999999</v>
      </c>
      <c r="AZ245">
        <v>4.5960000000000001</v>
      </c>
    </row>
    <row r="246" spans="2:52">
      <c r="B246" t="s">
        <v>1024</v>
      </c>
      <c r="C246">
        <v>36837365</v>
      </c>
      <c r="D246" t="s">
        <v>384</v>
      </c>
      <c r="F246" s="1" t="s">
        <v>1025</v>
      </c>
      <c r="G246" s="1" t="s">
        <v>384</v>
      </c>
      <c r="H246" t="s">
        <v>101</v>
      </c>
      <c r="K246" t="s">
        <v>1023</v>
      </c>
      <c r="L246" s="7">
        <v>27.488</v>
      </c>
      <c r="M246" s="8">
        <v>41382</v>
      </c>
      <c r="N246">
        <v>4</v>
      </c>
      <c r="O246" t="s">
        <v>57</v>
      </c>
      <c r="P246">
        <v>2013</v>
      </c>
      <c r="Q246">
        <v>0.25850000000000001</v>
      </c>
      <c r="R246" s="10"/>
      <c r="S246">
        <f>ROUND(ТабCЕС[[#This Row],[Зелений Тариф ЕЦ]]+ТабCЕС[[#This Row],[Зелений Тариф ЕЦ]]*ТабCЕС[[#This Row],[% надбавки]],4)</f>
        <v>0.25850000000000001</v>
      </c>
      <c r="T246" s="8"/>
      <c r="U246">
        <v>1.4890000000000001</v>
      </c>
      <c r="V246">
        <v>2.1239999999999997</v>
      </c>
      <c r="W246">
        <v>3.1990000000000003</v>
      </c>
      <c r="X246">
        <v>3.7969999999999997</v>
      </c>
      <c r="Y246">
        <v>4.4920000000000009</v>
      </c>
      <c r="Z246">
        <v>4.5579999999999981</v>
      </c>
      <c r="AA246">
        <v>4.5579999999999998</v>
      </c>
      <c r="AB246">
        <v>4.5500000000000007</v>
      </c>
      <c r="AC246">
        <v>3.762000000000004</v>
      </c>
      <c r="AD246">
        <v>2.6359999999999957</v>
      </c>
      <c r="AE246">
        <v>1.2199999999999989</v>
      </c>
      <c r="AF246">
        <v>1.2680000000000007</v>
      </c>
      <c r="AG246">
        <v>1.0629999999999999</v>
      </c>
      <c r="AH246">
        <v>1.2210000000000001</v>
      </c>
      <c r="AI246">
        <v>2.504</v>
      </c>
      <c r="AJ246">
        <v>4.5250000000000004</v>
      </c>
      <c r="AK246">
        <v>4.6040000000000001</v>
      </c>
      <c r="AL246">
        <v>4.5309999999999997</v>
      </c>
      <c r="AM246">
        <v>4.0270000000000001</v>
      </c>
      <c r="AN246">
        <v>4.6859999999999999</v>
      </c>
      <c r="AO246">
        <v>3.3980000000000001</v>
      </c>
      <c r="AP246">
        <v>3.2410000000000001</v>
      </c>
      <c r="AQ246">
        <v>0.79900000000000004</v>
      </c>
      <c r="AR246">
        <v>0.99199999999999999</v>
      </c>
      <c r="AS246">
        <v>1.1639999999999999</v>
      </c>
      <c r="AT246">
        <v>1.8140000000000001</v>
      </c>
      <c r="AU246">
        <v>3.9940000000000002</v>
      </c>
      <c r="AV246">
        <v>3.5680000000000001</v>
      </c>
      <c r="AW246">
        <v>4.1289999999999996</v>
      </c>
      <c r="AX246">
        <v>4.4779999999999998</v>
      </c>
      <c r="AY246">
        <v>4.3109999999999999</v>
      </c>
      <c r="AZ246">
        <v>4.5289999999999999</v>
      </c>
    </row>
    <row r="247" spans="2:52">
      <c r="C247" t="s">
        <v>58</v>
      </c>
      <c r="D247" t="s">
        <v>384</v>
      </c>
      <c r="F247" s="1" t="s">
        <v>1026</v>
      </c>
      <c r="G247" s="1" t="s">
        <v>384</v>
      </c>
      <c r="H247" t="s">
        <v>98</v>
      </c>
      <c r="K247" t="s">
        <v>1027</v>
      </c>
      <c r="L247" s="7">
        <v>3.4359999999999999</v>
      </c>
      <c r="M247" s="8">
        <v>43455</v>
      </c>
      <c r="N247">
        <v>12</v>
      </c>
      <c r="O247" t="s">
        <v>71</v>
      </c>
      <c r="P247">
        <v>2018</v>
      </c>
      <c r="Q247">
        <v>0.15029999999999999</v>
      </c>
      <c r="R247" s="10"/>
      <c r="S247">
        <f>ROUND(ТабCЕС[[#This Row],[Зелений Тариф ЕЦ]]+ТабCЕС[[#This Row],[Зелений Тариф ЕЦ]]*ТабCЕС[[#This Row],[% надбавки]],4)</f>
        <v>0.15029999999999999</v>
      </c>
      <c r="T247" s="8"/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3.3000000000000002E-2</v>
      </c>
      <c r="AT247">
        <v>0.22600000000000001</v>
      </c>
      <c r="AU247">
        <v>0.33800000000000002</v>
      </c>
      <c r="AV247">
        <v>0.45600000000000002</v>
      </c>
      <c r="AW247">
        <v>0.38700000000000001</v>
      </c>
      <c r="AX247">
        <v>0.58399999999999996</v>
      </c>
      <c r="AY247">
        <v>0.53400000000000003</v>
      </c>
      <c r="AZ247">
        <v>0.54100000000000004</v>
      </c>
    </row>
    <row r="248" spans="2:52">
      <c r="C248" t="s">
        <v>58</v>
      </c>
      <c r="D248" t="s">
        <v>384</v>
      </c>
      <c r="F248" s="1" t="s">
        <v>1028</v>
      </c>
      <c r="G248" s="1" t="s">
        <v>1029</v>
      </c>
      <c r="H248" t="s">
        <v>98</v>
      </c>
      <c r="K248" t="s">
        <v>1030</v>
      </c>
      <c r="L248" s="7">
        <v>8.4550000000000001</v>
      </c>
      <c r="M248" s="8">
        <v>43637</v>
      </c>
      <c r="N248">
        <v>6</v>
      </c>
      <c r="O248" t="s">
        <v>57</v>
      </c>
      <c r="P248">
        <v>2019</v>
      </c>
      <c r="Q248">
        <v>0.15029999999999999</v>
      </c>
      <c r="R248" s="10"/>
      <c r="S248">
        <f>ROUND(ТабCЕС[[#This Row],[Зелений Тариф ЕЦ]]+ТабCЕС[[#This Row],[Зелений Тариф ЕЦ]]*ТабCЕС[[#This Row],[% надбавки]],4)</f>
        <v>0.15029999999999999</v>
      </c>
      <c r="T248" s="8"/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0.876</v>
      </c>
      <c r="AZ248">
        <v>1.2749999999999999</v>
      </c>
    </row>
    <row r="249" spans="2:52">
      <c r="B249" t="s">
        <v>1031</v>
      </c>
      <c r="C249">
        <v>32177521</v>
      </c>
      <c r="D249" t="s">
        <v>384</v>
      </c>
      <c r="F249" s="1" t="s">
        <v>1032</v>
      </c>
      <c r="G249" s="1" t="s">
        <v>384</v>
      </c>
      <c r="H249" t="s">
        <v>136</v>
      </c>
      <c r="K249" t="s">
        <v>1033</v>
      </c>
      <c r="L249" s="7">
        <v>0.629</v>
      </c>
      <c r="M249" s="8">
        <v>42794</v>
      </c>
      <c r="N249">
        <v>2</v>
      </c>
      <c r="O249" t="s">
        <v>67</v>
      </c>
      <c r="P249">
        <v>2017</v>
      </c>
      <c r="Q249">
        <v>0.15989999999999999</v>
      </c>
      <c r="R249" s="10"/>
      <c r="S249">
        <f>ROUND(ТабCЕС[[#This Row],[Зелений Тариф ЕЦ]]+ТабCЕС[[#This Row],[Зелений Тариф ЕЦ]]*ТабCЕС[[#This Row],[% надбавки]],4)</f>
        <v>0.15989999999999999</v>
      </c>
      <c r="T249" s="8"/>
      <c r="U249">
        <v>0</v>
      </c>
      <c r="V249">
        <v>0</v>
      </c>
      <c r="W249">
        <v>0</v>
      </c>
      <c r="X249">
        <v>0</v>
      </c>
      <c r="Y249">
        <v>0.26200000000000001</v>
      </c>
      <c r="Z249">
        <v>0.10299999999999998</v>
      </c>
      <c r="AA249">
        <v>0.10200000000000004</v>
      </c>
      <c r="AB249">
        <v>9.3000000000000027E-2</v>
      </c>
      <c r="AC249">
        <v>8.2999999999999963E-2</v>
      </c>
      <c r="AD249">
        <v>3.5000000000000031E-2</v>
      </c>
      <c r="AE249">
        <v>1.19999999999999E-2</v>
      </c>
      <c r="AF249">
        <v>9.000000000000008E-3</v>
      </c>
      <c r="AG249">
        <v>8.0000000000000002E-3</v>
      </c>
      <c r="AH249">
        <v>2.1000000000000001E-2</v>
      </c>
      <c r="AI249">
        <v>5.0999999999999997E-2</v>
      </c>
      <c r="AJ249">
        <v>9.1999999999999998E-2</v>
      </c>
      <c r="AK249">
        <v>0.107</v>
      </c>
      <c r="AL249">
        <v>0.10199999999999999</v>
      </c>
      <c r="AM249">
        <v>9.8000000000000004E-2</v>
      </c>
      <c r="AN249">
        <v>0.105</v>
      </c>
      <c r="AO249">
        <v>6.5000000000000002E-2</v>
      </c>
      <c r="AP249">
        <v>5.7000000000000002E-2</v>
      </c>
      <c r="AQ249">
        <v>1.9E-2</v>
      </c>
      <c r="AR249">
        <v>5.0000000000000001E-3</v>
      </c>
      <c r="AS249">
        <v>0.01</v>
      </c>
      <c r="AT249">
        <v>0.03</v>
      </c>
      <c r="AU249">
        <v>6.6000000000000003E-2</v>
      </c>
      <c r="AV249">
        <v>8.5999999999999993E-2</v>
      </c>
      <c r="AW249">
        <v>0.08</v>
      </c>
      <c r="AX249">
        <v>0.10100000000000001</v>
      </c>
      <c r="AY249">
        <v>9.4E-2</v>
      </c>
      <c r="AZ249">
        <v>9.0999999999999998E-2</v>
      </c>
    </row>
    <row r="250" spans="2:52">
      <c r="B250" t="s">
        <v>1034</v>
      </c>
      <c r="C250">
        <v>37908389</v>
      </c>
      <c r="D250" t="s">
        <v>384</v>
      </c>
      <c r="F250" s="1" t="s">
        <v>1035</v>
      </c>
      <c r="G250" s="1" t="s">
        <v>384</v>
      </c>
      <c r="H250" t="s">
        <v>198</v>
      </c>
      <c r="K250" t="s">
        <v>1036</v>
      </c>
      <c r="L250" s="7">
        <v>7.7450000000000001</v>
      </c>
      <c r="M250" s="8">
        <v>41501</v>
      </c>
      <c r="N250">
        <v>8</v>
      </c>
      <c r="O250" t="s">
        <v>60</v>
      </c>
      <c r="P250">
        <v>2013</v>
      </c>
      <c r="Q250">
        <v>0.33929999999999999</v>
      </c>
      <c r="R250" s="10"/>
      <c r="S250">
        <f>ROUND(ТабCЕС[[#This Row],[Зелений Тариф ЕЦ]]+ТабCЕС[[#This Row],[Зелений Тариф ЕЦ]]*ТабCЕС[[#This Row],[% надбавки]],4)</f>
        <v>0.33929999999999999</v>
      </c>
      <c r="T250" s="8"/>
      <c r="U250">
        <v>0.309</v>
      </c>
      <c r="V250">
        <v>0.434</v>
      </c>
      <c r="W250">
        <v>0.84599999999999997</v>
      </c>
      <c r="X250">
        <v>1.0489999999999999</v>
      </c>
      <c r="Y250">
        <v>1.294</v>
      </c>
      <c r="Z250">
        <v>1.3119999999999998</v>
      </c>
      <c r="AA250">
        <v>1.2700000000000005</v>
      </c>
      <c r="AB250">
        <v>1.1479999999999997</v>
      </c>
      <c r="AC250">
        <v>0.9430000000000005</v>
      </c>
      <c r="AD250">
        <v>0.44500000000000028</v>
      </c>
      <c r="AE250">
        <v>0.21099999999999852</v>
      </c>
      <c r="AF250">
        <v>0.13100000000000023</v>
      </c>
      <c r="AG250">
        <v>0.24399999999999999</v>
      </c>
      <c r="AH250">
        <v>0.32</v>
      </c>
      <c r="AI250">
        <v>0.59099999999999997</v>
      </c>
      <c r="AJ250">
        <v>1.1599999999999999</v>
      </c>
      <c r="AK250">
        <v>1.2889999999999999</v>
      </c>
      <c r="AL250">
        <v>1.198</v>
      </c>
      <c r="AM250">
        <v>1.131</v>
      </c>
      <c r="AN250">
        <v>1.3129999999999999</v>
      </c>
      <c r="AO250">
        <v>0.8</v>
      </c>
      <c r="AP250">
        <v>0.751</v>
      </c>
      <c r="AQ250">
        <v>0.22500000000000001</v>
      </c>
      <c r="AR250">
        <v>7.4999999999999997E-2</v>
      </c>
      <c r="AS250">
        <v>0.13300000000000001</v>
      </c>
      <c r="AT250">
        <v>0.35299999999999998</v>
      </c>
      <c r="AU250">
        <v>0.752</v>
      </c>
      <c r="AV250">
        <v>0.97399999999999998</v>
      </c>
      <c r="AW250">
        <v>1.0629999999999999</v>
      </c>
      <c r="AX250">
        <v>1.262</v>
      </c>
      <c r="AY250">
        <v>1.198</v>
      </c>
      <c r="AZ250">
        <v>1.204</v>
      </c>
    </row>
    <row r="251" spans="2:52">
      <c r="B251" t="s">
        <v>1037</v>
      </c>
      <c r="C251">
        <v>37908389</v>
      </c>
      <c r="D251" t="s">
        <v>384</v>
      </c>
      <c r="F251" s="1" t="s">
        <v>1035</v>
      </c>
      <c r="G251" s="1" t="s">
        <v>1038</v>
      </c>
      <c r="H251" t="s">
        <v>73</v>
      </c>
      <c r="K251" t="s">
        <v>1039</v>
      </c>
      <c r="L251" s="7">
        <v>11.013999999999999</v>
      </c>
      <c r="M251" s="8">
        <v>42880</v>
      </c>
      <c r="N251">
        <v>5</v>
      </c>
      <c r="O251" t="s">
        <v>57</v>
      </c>
      <c r="P251">
        <v>2017</v>
      </c>
      <c r="Q251">
        <v>0.15029999999999999</v>
      </c>
      <c r="R251" s="10">
        <v>0.05</v>
      </c>
      <c r="S251">
        <f>ROUND(ТабCЕС[[#This Row],[Зелений Тариф ЕЦ]]+ТабCЕС[[#This Row],[Зелений Тариф ЕЦ]]*ТабCЕС[[#This Row],[% надбавки]],4)</f>
        <v>0.1578</v>
      </c>
      <c r="T251" s="8">
        <v>43035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1.7470000000000001</v>
      </c>
      <c r="AA251">
        <v>1.8680000000000001</v>
      </c>
      <c r="AB251">
        <v>1.6529999999999996</v>
      </c>
      <c r="AC251">
        <v>1.5070000000000006</v>
      </c>
      <c r="AD251">
        <v>0.60699999999999932</v>
      </c>
      <c r="AE251">
        <v>0.45700000000000074</v>
      </c>
      <c r="AF251">
        <v>0.36899999999999977</v>
      </c>
      <c r="AG251">
        <v>0.45</v>
      </c>
      <c r="AH251">
        <v>0.48399999999999999</v>
      </c>
      <c r="AI251">
        <v>0.92900000000000005</v>
      </c>
      <c r="AJ251">
        <v>1.7949999999999999</v>
      </c>
      <c r="AK251">
        <v>1.9119999999999999</v>
      </c>
      <c r="AL251">
        <v>1.738</v>
      </c>
      <c r="AM251">
        <v>1.653</v>
      </c>
      <c r="AN251">
        <v>1.9119999999999999</v>
      </c>
      <c r="AO251">
        <v>1.2290000000000001</v>
      </c>
      <c r="AP251">
        <v>1.333</v>
      </c>
      <c r="AQ251">
        <v>0.48199999999999998</v>
      </c>
      <c r="AR251">
        <v>0.183</v>
      </c>
      <c r="AS251">
        <v>0.32600000000000001</v>
      </c>
      <c r="AT251">
        <v>0.55600000000000005</v>
      </c>
      <c r="AU251">
        <v>1.4630000000000001</v>
      </c>
      <c r="AV251">
        <v>1.585</v>
      </c>
      <c r="AW251">
        <v>1.732</v>
      </c>
      <c r="AX251">
        <v>1.762</v>
      </c>
      <c r="AY251">
        <v>1.873</v>
      </c>
      <c r="AZ251">
        <v>1.736</v>
      </c>
    </row>
    <row r="252" spans="2:52">
      <c r="C252" t="s">
        <v>58</v>
      </c>
      <c r="D252" t="s">
        <v>384</v>
      </c>
      <c r="F252" s="1" t="s">
        <v>1040</v>
      </c>
      <c r="G252" s="1" t="s">
        <v>384</v>
      </c>
      <c r="H252" t="s">
        <v>136</v>
      </c>
      <c r="K252" t="s">
        <v>1041</v>
      </c>
      <c r="L252" s="7">
        <v>9.9789999999999992</v>
      </c>
      <c r="M252" s="8">
        <v>43434</v>
      </c>
      <c r="N252">
        <v>11</v>
      </c>
      <c r="O252" t="s">
        <v>71</v>
      </c>
      <c r="P252">
        <v>2018</v>
      </c>
      <c r="Q252">
        <v>0.15029999999999999</v>
      </c>
      <c r="R252" s="10"/>
      <c r="S252">
        <f>ROUND(ТабCЕС[[#This Row],[Зелений Тариф ЕЦ]]+ТабCЕС[[#This Row],[Зелений Тариф ЕЦ]]*ТабCЕС[[#This Row],[% надбавки]],4)</f>
        <v>0.15029999999999999</v>
      </c>
      <c r="T252" s="8"/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3.5999999999999997E-2</v>
      </c>
      <c r="AS252">
        <v>0.22500000000000001</v>
      </c>
      <c r="AT252">
        <v>0.48699999999999999</v>
      </c>
      <c r="AU252">
        <v>1.0449999999999999</v>
      </c>
      <c r="AV252">
        <v>1.389</v>
      </c>
      <c r="AW252">
        <v>1.4450000000000001</v>
      </c>
      <c r="AX252">
        <v>1.583</v>
      </c>
      <c r="AY252">
        <v>1.635</v>
      </c>
      <c r="AZ252">
        <v>1.6060000000000001</v>
      </c>
    </row>
    <row r="253" spans="2:52">
      <c r="B253" t="s">
        <v>1042</v>
      </c>
      <c r="C253">
        <v>37209971</v>
      </c>
      <c r="D253" t="s">
        <v>384</v>
      </c>
      <c r="F253" s="1" t="s">
        <v>1043</v>
      </c>
      <c r="G253" s="1" t="s">
        <v>384</v>
      </c>
      <c r="H253" t="s">
        <v>101</v>
      </c>
      <c r="K253" t="s">
        <v>1044</v>
      </c>
      <c r="L253" s="7">
        <v>3.2040000000000002</v>
      </c>
      <c r="M253" s="8">
        <v>42759</v>
      </c>
      <c r="N253">
        <v>1</v>
      </c>
      <c r="O253" t="s">
        <v>67</v>
      </c>
      <c r="P253">
        <v>2017</v>
      </c>
      <c r="Q253">
        <v>0.15989999999999999</v>
      </c>
      <c r="R253" s="10"/>
      <c r="S253">
        <f>ROUND(ТабCЕС[[#This Row],[Зелений Тариф ЕЦ]]+ТабCЕС[[#This Row],[Зелений Тариф ЕЦ]]*ТабCЕС[[#This Row],[% надбавки]],4)</f>
        <v>0.15989999999999999</v>
      </c>
      <c r="T253" s="8"/>
      <c r="U253">
        <v>0</v>
      </c>
      <c r="V253">
        <v>0</v>
      </c>
      <c r="W253">
        <v>0</v>
      </c>
      <c r="X253">
        <v>0</v>
      </c>
      <c r="Y253">
        <v>0.39500000000000002</v>
      </c>
      <c r="Z253">
        <v>0.48199999999999998</v>
      </c>
      <c r="AA253">
        <v>0.49500000000000011</v>
      </c>
      <c r="AB253">
        <v>0.5129999999999999</v>
      </c>
      <c r="AC253">
        <v>0.45099999999999985</v>
      </c>
      <c r="AD253">
        <v>0.31800000000000006</v>
      </c>
      <c r="AE253">
        <v>0.1379999999999999</v>
      </c>
      <c r="AF253">
        <v>0.14300000000000024</v>
      </c>
      <c r="AG253">
        <v>0.187</v>
      </c>
      <c r="AH253">
        <v>0.155</v>
      </c>
      <c r="AI253">
        <v>0.28799999999999998</v>
      </c>
      <c r="AJ253">
        <v>0.53100000000000003</v>
      </c>
      <c r="AK253">
        <v>0.52100000000000002</v>
      </c>
      <c r="AL253">
        <v>0.51700000000000002</v>
      </c>
      <c r="AM253">
        <v>0.42399999999999999</v>
      </c>
      <c r="AN253">
        <v>0.52500000000000002</v>
      </c>
      <c r="AO253">
        <v>0.39600000000000002</v>
      </c>
      <c r="AP253">
        <v>0.38800000000000001</v>
      </c>
      <c r="AQ253">
        <v>0.10299999999999999</v>
      </c>
      <c r="AR253">
        <v>0.114</v>
      </c>
      <c r="AS253">
        <v>0.14099999999999999</v>
      </c>
      <c r="AT253">
        <v>0.17499999999999999</v>
      </c>
      <c r="AU253">
        <v>0.46700000000000003</v>
      </c>
      <c r="AV253">
        <v>0.41899999999999998</v>
      </c>
      <c r="AW253">
        <v>0.49299999999999999</v>
      </c>
      <c r="AX253">
        <v>0.50800000000000001</v>
      </c>
      <c r="AY253">
        <v>0.498</v>
      </c>
      <c r="AZ253">
        <v>0.53800000000000003</v>
      </c>
    </row>
    <row r="254" spans="2:52">
      <c r="B254" t="s">
        <v>1045</v>
      </c>
      <c r="C254">
        <v>37209971</v>
      </c>
      <c r="D254" t="s">
        <v>384</v>
      </c>
      <c r="F254" s="1" t="s">
        <v>1043</v>
      </c>
      <c r="G254" s="1" t="s">
        <v>384</v>
      </c>
      <c r="H254" t="s">
        <v>73</v>
      </c>
      <c r="K254" t="s">
        <v>1046</v>
      </c>
      <c r="L254" s="7">
        <v>12.706</v>
      </c>
      <c r="M254" s="8">
        <v>43277</v>
      </c>
      <c r="N254">
        <v>6</v>
      </c>
      <c r="O254" t="s">
        <v>57</v>
      </c>
      <c r="P254">
        <v>2018</v>
      </c>
      <c r="Q254">
        <v>0.15029999999999999</v>
      </c>
      <c r="R254" s="10"/>
      <c r="S254">
        <f>ROUND(ТабCЕС[[#This Row],[Зелений Тариф ЕЦ]]+ТабCЕС[[#This Row],[Зелений Тариф ЕЦ]]*ТабCЕС[[#This Row],[% надбавки]],4)</f>
        <v>0.15029999999999999</v>
      </c>
      <c r="T254" s="8"/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1.5349999999999999</v>
      </c>
      <c r="AO254">
        <v>1.093</v>
      </c>
      <c r="AP254">
        <v>1.405</v>
      </c>
      <c r="AQ254">
        <v>0.48299999999999998</v>
      </c>
      <c r="AR254">
        <v>0.22500000000000001</v>
      </c>
      <c r="AS254">
        <v>0.34499999999999997</v>
      </c>
      <c r="AT254">
        <v>0.66300000000000003</v>
      </c>
      <c r="AU254">
        <v>3.145</v>
      </c>
      <c r="AV254">
        <v>3.403</v>
      </c>
      <c r="AW254">
        <v>3.68</v>
      </c>
      <c r="AX254">
        <v>3.9089999999999998</v>
      </c>
      <c r="AY254">
        <v>3.899</v>
      </c>
      <c r="AZ254">
        <v>3.9750000000000001</v>
      </c>
    </row>
    <row r="255" spans="2:52">
      <c r="B255" t="s">
        <v>1047</v>
      </c>
      <c r="C255">
        <v>37209971</v>
      </c>
      <c r="D255" t="s">
        <v>384</v>
      </c>
      <c r="F255" s="1" t="s">
        <v>1043</v>
      </c>
      <c r="G255" s="1" t="s">
        <v>1048</v>
      </c>
      <c r="H255" t="s">
        <v>101</v>
      </c>
      <c r="K255" t="s">
        <v>1049</v>
      </c>
      <c r="L255" s="7">
        <v>11.83</v>
      </c>
      <c r="M255" s="8">
        <v>43476</v>
      </c>
      <c r="N255">
        <v>1</v>
      </c>
      <c r="O255" t="s">
        <v>67</v>
      </c>
      <c r="P255">
        <v>2019</v>
      </c>
      <c r="Q255">
        <v>0.15029999999999999</v>
      </c>
      <c r="R255" s="10">
        <v>0.05</v>
      </c>
      <c r="S255">
        <f>ROUND(ТабCЕС[[#This Row],[Зелений Тариф ЕЦ]]+ТабCЕС[[#This Row],[Зелений Тариф ЕЦ]]*ТабCЕС[[#This Row],[% надбавки]],4)</f>
        <v>0.1578</v>
      </c>
      <c r="T255" s="8">
        <v>43476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2:52">
      <c r="B256" t="s">
        <v>1050</v>
      </c>
      <c r="C256">
        <v>37232230</v>
      </c>
      <c r="D256" t="s">
        <v>384</v>
      </c>
      <c r="F256" s="1" t="s">
        <v>1051</v>
      </c>
      <c r="G256" s="1" t="s">
        <v>384</v>
      </c>
      <c r="H256" t="s">
        <v>198</v>
      </c>
      <c r="I256" t="s">
        <v>1052</v>
      </c>
      <c r="J256" t="s">
        <v>1053</v>
      </c>
      <c r="K256" t="s">
        <v>1054</v>
      </c>
      <c r="L256" s="7">
        <v>9.5519999999999996</v>
      </c>
      <c r="M256" s="8">
        <v>42726</v>
      </c>
      <c r="N256">
        <v>12</v>
      </c>
      <c r="O256" t="s">
        <v>71</v>
      </c>
      <c r="P256">
        <v>2016</v>
      </c>
      <c r="Q256">
        <v>0.15989999999999999</v>
      </c>
      <c r="R256" s="10">
        <v>0.05</v>
      </c>
      <c r="S256">
        <f>ROUND(ТабCЕС[[#This Row],[Зелений Тариф ЕЦ]]+ТабCЕС[[#This Row],[Зелений Тариф ЕЦ]]*ТабCЕС[[#This Row],[% надбавки]],4)</f>
        <v>0.16789999999999999</v>
      </c>
      <c r="T256" s="8">
        <v>43020</v>
      </c>
      <c r="U256">
        <v>0.22600000000000001</v>
      </c>
      <c r="V256">
        <v>0.29000000000000004</v>
      </c>
      <c r="W256">
        <v>1.214</v>
      </c>
      <c r="X256">
        <v>1.3900000000000001</v>
      </c>
      <c r="Y256">
        <v>1.5739999999999998</v>
      </c>
      <c r="Z256">
        <v>1.6420000000000003</v>
      </c>
      <c r="AA256">
        <v>1.5709999999999997</v>
      </c>
      <c r="AB256">
        <v>1.5120000000000005</v>
      </c>
      <c r="AC256">
        <v>1.0749999999999993</v>
      </c>
      <c r="AD256">
        <v>0.59100000000000108</v>
      </c>
      <c r="AE256">
        <v>0.2419999999999991</v>
      </c>
      <c r="AF256">
        <v>0.16699999999999982</v>
      </c>
      <c r="AG256">
        <v>0.35099999999999998</v>
      </c>
      <c r="AH256">
        <v>0.44900000000000001</v>
      </c>
      <c r="AI256">
        <v>0.86299999999999999</v>
      </c>
      <c r="AJ256">
        <v>1.5429999999999999</v>
      </c>
      <c r="AK256">
        <v>1.6419999999999999</v>
      </c>
      <c r="AL256">
        <v>1.427</v>
      </c>
      <c r="AM256">
        <v>1.42</v>
      </c>
      <c r="AN256">
        <v>1.659</v>
      </c>
      <c r="AO256">
        <v>1.081</v>
      </c>
      <c r="AP256">
        <v>1.0069999999999999</v>
      </c>
      <c r="AQ256">
        <v>0.255</v>
      </c>
      <c r="AR256">
        <v>0.152</v>
      </c>
      <c r="AS256">
        <v>0.13300000000000001</v>
      </c>
      <c r="AT256">
        <v>0.41199999999999998</v>
      </c>
      <c r="AU256">
        <v>0.92900000000000005</v>
      </c>
      <c r="AV256">
        <v>1.3180000000000001</v>
      </c>
      <c r="AW256">
        <v>1.321</v>
      </c>
      <c r="AX256">
        <v>1.655</v>
      </c>
      <c r="AY256">
        <v>1.512</v>
      </c>
      <c r="AZ256">
        <v>1.542</v>
      </c>
    </row>
    <row r="257" spans="2:52">
      <c r="B257" t="s">
        <v>1055</v>
      </c>
      <c r="C257">
        <v>37248921</v>
      </c>
      <c r="D257" t="s">
        <v>384</v>
      </c>
      <c r="F257" s="1" t="s">
        <v>1056</v>
      </c>
      <c r="G257" s="1" t="s">
        <v>384</v>
      </c>
      <c r="H257" t="s">
        <v>198</v>
      </c>
      <c r="K257" t="s">
        <v>1057</v>
      </c>
      <c r="L257" s="7">
        <v>4.9210000000000003</v>
      </c>
      <c r="M257" s="8">
        <v>41501</v>
      </c>
      <c r="N257">
        <v>8</v>
      </c>
      <c r="O257" t="s">
        <v>60</v>
      </c>
      <c r="P257">
        <v>2013</v>
      </c>
      <c r="Q257">
        <v>0.33929999999999999</v>
      </c>
      <c r="R257" s="10"/>
      <c r="S257">
        <f>ROUND(ТабCЕС[[#This Row],[Зелений Тариф ЕЦ]]+ТабCЕС[[#This Row],[Зелений Тариф ЕЦ]]*ТабCЕС[[#This Row],[% надбавки]],4)</f>
        <v>0.33929999999999999</v>
      </c>
      <c r="T257" s="8"/>
      <c r="U257">
        <v>0.192</v>
      </c>
      <c r="V257">
        <v>0.28599999999999998</v>
      </c>
      <c r="W257">
        <v>0.53400000000000003</v>
      </c>
      <c r="X257">
        <v>0.70300000000000007</v>
      </c>
      <c r="Y257">
        <v>0.8</v>
      </c>
      <c r="Z257">
        <v>0.81400000000000006</v>
      </c>
      <c r="AA257">
        <v>0.78600000000000003</v>
      </c>
      <c r="AB257">
        <v>0.77999999999999936</v>
      </c>
      <c r="AC257">
        <v>0.58200000000000074</v>
      </c>
      <c r="AD257">
        <v>0.30499999999999972</v>
      </c>
      <c r="AE257">
        <v>0.13300000000000001</v>
      </c>
      <c r="AF257">
        <v>8.3000000000000185E-2</v>
      </c>
      <c r="AG257">
        <v>0.155</v>
      </c>
      <c r="AH257">
        <v>0.191</v>
      </c>
      <c r="AI257">
        <v>0.42899999999999999</v>
      </c>
      <c r="AJ257">
        <v>0.79500000000000004</v>
      </c>
      <c r="AK257">
        <v>0.85599999999999998</v>
      </c>
      <c r="AL257">
        <v>0.72499999999999998</v>
      </c>
      <c r="AM257">
        <v>0.70799999999999996</v>
      </c>
      <c r="AN257">
        <v>0.84399999999999997</v>
      </c>
      <c r="AO257">
        <v>0.56899999999999995</v>
      </c>
      <c r="AP257">
        <v>0.51600000000000001</v>
      </c>
      <c r="AQ257">
        <v>0.14000000000000001</v>
      </c>
      <c r="AR257">
        <v>7.0000000000000007E-2</v>
      </c>
      <c r="AS257">
        <v>7.2999999999999995E-2</v>
      </c>
      <c r="AT257">
        <v>0.2</v>
      </c>
      <c r="AU257">
        <v>0.48299999999999998</v>
      </c>
      <c r="AV257">
        <v>0.66600000000000004</v>
      </c>
      <c r="AW257">
        <v>0.65300000000000002</v>
      </c>
      <c r="AX257">
        <v>0.83599999999999997</v>
      </c>
      <c r="AY257">
        <v>0.78100000000000003</v>
      </c>
      <c r="AZ257">
        <v>0.79700000000000004</v>
      </c>
    </row>
    <row r="258" spans="2:52">
      <c r="B258" t="s">
        <v>1058</v>
      </c>
      <c r="C258">
        <v>37248921</v>
      </c>
      <c r="D258" t="s">
        <v>384</v>
      </c>
      <c r="F258" s="1" t="s">
        <v>1056</v>
      </c>
      <c r="G258" s="1" t="s">
        <v>384</v>
      </c>
      <c r="H258" t="s">
        <v>101</v>
      </c>
      <c r="K258" t="s">
        <v>1059</v>
      </c>
      <c r="L258" s="7">
        <v>9.4610000000000003</v>
      </c>
      <c r="M258" s="8">
        <v>42915</v>
      </c>
      <c r="N258">
        <v>6</v>
      </c>
      <c r="O258" t="s">
        <v>57</v>
      </c>
      <c r="P258">
        <v>2017</v>
      </c>
      <c r="Q258">
        <v>0.15029999999999999</v>
      </c>
      <c r="R258" s="10">
        <v>0.05</v>
      </c>
      <c r="S258">
        <f>ROUND(ТабCЕС[[#This Row],[Зелений Тариф ЕЦ]]+ТабCЕС[[#This Row],[Зелений Тариф ЕЦ]]*ТабCЕС[[#This Row],[% надбавки]],4)</f>
        <v>0.1578</v>
      </c>
      <c r="T258" s="8">
        <v>43312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1.421</v>
      </c>
      <c r="AC258">
        <v>1.3379999999999999</v>
      </c>
      <c r="AD258">
        <v>0.83700000000000019</v>
      </c>
      <c r="AE258">
        <v>0.39100000000000001</v>
      </c>
      <c r="AF258">
        <v>0.42300000000000004</v>
      </c>
      <c r="AG258">
        <v>0.48299999999999998</v>
      </c>
      <c r="AH258">
        <v>0.45600000000000002</v>
      </c>
      <c r="AI258">
        <v>0.86</v>
      </c>
      <c r="AJ258">
        <v>1.5549999999999999</v>
      </c>
      <c r="AK258">
        <v>1.633</v>
      </c>
      <c r="AL258">
        <v>1.486</v>
      </c>
      <c r="AM258">
        <v>1.339</v>
      </c>
      <c r="AN258">
        <v>1.609</v>
      </c>
      <c r="AO258">
        <v>1.0900000000000001</v>
      </c>
      <c r="AP258">
        <v>1.133</v>
      </c>
      <c r="AQ258">
        <v>0.28999999999999998</v>
      </c>
      <c r="AR258">
        <v>0.29799999999999999</v>
      </c>
      <c r="AS258">
        <v>0.34699999999999998</v>
      </c>
      <c r="AT258">
        <v>0.59599999999999997</v>
      </c>
      <c r="AU258">
        <v>1.357</v>
      </c>
      <c r="AV258">
        <v>1.3049999999999999</v>
      </c>
      <c r="AW258">
        <v>1.413</v>
      </c>
      <c r="AX258">
        <v>1.4830000000000001</v>
      </c>
      <c r="AY258">
        <v>1.472</v>
      </c>
      <c r="AZ258">
        <v>1.5529999999999999</v>
      </c>
    </row>
    <row r="259" spans="2:52">
      <c r="B259" t="s">
        <v>1060</v>
      </c>
      <c r="C259">
        <v>37663470</v>
      </c>
      <c r="D259" t="s">
        <v>384</v>
      </c>
      <c r="F259" s="1" t="s">
        <v>1061</v>
      </c>
      <c r="G259" s="1" t="s">
        <v>1062</v>
      </c>
      <c r="H259" t="s">
        <v>198</v>
      </c>
      <c r="K259" t="s">
        <v>1063</v>
      </c>
      <c r="L259" s="7">
        <v>1.3060120068610637</v>
      </c>
      <c r="M259" s="8">
        <v>41270</v>
      </c>
      <c r="N259">
        <v>12</v>
      </c>
      <c r="O259" t="s">
        <v>71</v>
      </c>
      <c r="P259">
        <v>2012</v>
      </c>
      <c r="Q259">
        <v>0.46529999999999999</v>
      </c>
      <c r="R259" s="10"/>
      <c r="S259">
        <f>ROUND(ТабCЕС[[#This Row],[Зелений Тариф ЕЦ]]+ТабCЕС[[#This Row],[Зелений Тариф ЕЦ]]*ТабCЕС[[#This Row],[% надбавки]],4)</f>
        <v>0.46529999999999999</v>
      </c>
      <c r="T259" s="8"/>
      <c r="U259">
        <v>5.3999999999999999E-2</v>
      </c>
      <c r="V259">
        <v>7.8000000000000014E-2</v>
      </c>
      <c r="W259">
        <v>0.14500000000000002</v>
      </c>
      <c r="X259">
        <v>0.18099999999999999</v>
      </c>
      <c r="Y259">
        <v>0.21600000000000003</v>
      </c>
      <c r="Z259">
        <v>0.22199999999999998</v>
      </c>
      <c r="AA259">
        <v>0.21600000000000008</v>
      </c>
      <c r="AB259">
        <v>0.18899999999999983</v>
      </c>
      <c r="AC259">
        <v>0.15800000000000014</v>
      </c>
      <c r="AD259">
        <v>7.3999999999999844E-2</v>
      </c>
      <c r="AE259">
        <v>3.6000000000000032E-2</v>
      </c>
      <c r="AF259">
        <v>2.4000000000000021E-2</v>
      </c>
      <c r="AG259">
        <v>4.8000000000000001E-2</v>
      </c>
      <c r="AH259">
        <v>6.3E-2</v>
      </c>
      <c r="AI259">
        <v>0.113</v>
      </c>
      <c r="AJ259">
        <v>0.17499999999999999</v>
      </c>
      <c r="AK259">
        <v>0.23200000000000001</v>
      </c>
      <c r="AL259">
        <v>0.19900000000000001</v>
      </c>
      <c r="AM259">
        <v>0.185</v>
      </c>
      <c r="AN259">
        <v>0.22</v>
      </c>
      <c r="AO259">
        <v>0.13900000000000001</v>
      </c>
      <c r="AP259">
        <v>0.13</v>
      </c>
      <c r="AQ259">
        <v>3.5999999999999997E-2</v>
      </c>
      <c r="AR259">
        <v>1.7999999999999999E-2</v>
      </c>
      <c r="AS259">
        <v>0.02</v>
      </c>
      <c r="AT259">
        <v>6.0999999999999999E-2</v>
      </c>
      <c r="AU259">
        <v>0.127</v>
      </c>
      <c r="AV259">
        <v>0.16800000000000001</v>
      </c>
      <c r="AW259">
        <v>0.18</v>
      </c>
      <c r="AX259">
        <v>0.216</v>
      </c>
      <c r="AY259">
        <v>0.19700000000000001</v>
      </c>
      <c r="AZ259">
        <v>0.19700000000000001</v>
      </c>
    </row>
    <row r="260" spans="2:52">
      <c r="B260" t="s">
        <v>1064</v>
      </c>
      <c r="C260">
        <v>37663470</v>
      </c>
      <c r="D260" t="s">
        <v>384</v>
      </c>
      <c r="F260" s="1" t="s">
        <v>1061</v>
      </c>
      <c r="G260" s="1" t="s">
        <v>1065</v>
      </c>
      <c r="H260" t="s">
        <v>198</v>
      </c>
      <c r="K260" t="s">
        <v>1066</v>
      </c>
      <c r="L260" s="7">
        <v>2.4794339622641512</v>
      </c>
      <c r="M260" s="8">
        <v>42362</v>
      </c>
      <c r="N260">
        <v>12</v>
      </c>
      <c r="O260" t="s">
        <v>71</v>
      </c>
      <c r="P260">
        <v>2015</v>
      </c>
      <c r="Q260">
        <v>0.33929999999999999</v>
      </c>
      <c r="R260" s="10"/>
      <c r="S260">
        <f>ROUND(ТабCЕС[[#This Row],[Зелений Тариф ЕЦ]]+ТабCЕС[[#This Row],[Зелений Тариф ЕЦ]]*ТабCЕС[[#This Row],[% надбавки]],4)</f>
        <v>0.33929999999999999</v>
      </c>
      <c r="T260" s="8"/>
      <c r="U260">
        <v>5.6000000000000001E-2</v>
      </c>
      <c r="V260">
        <v>6.6000000000000003E-2</v>
      </c>
      <c r="W260">
        <v>0.13100000000000001</v>
      </c>
      <c r="X260">
        <v>0.17099999999999999</v>
      </c>
      <c r="Y260">
        <v>0.17599999999999999</v>
      </c>
      <c r="Z260">
        <v>0.20400000000000007</v>
      </c>
      <c r="AA260">
        <v>0.19499999999999995</v>
      </c>
      <c r="AB260">
        <v>0.18400000000000005</v>
      </c>
      <c r="AC260">
        <v>0.14900000000000002</v>
      </c>
      <c r="AD260">
        <v>6.7999999999999838E-2</v>
      </c>
      <c r="AE260">
        <v>3.5000000000000142E-2</v>
      </c>
      <c r="AF260">
        <v>6.32</v>
      </c>
      <c r="AG260">
        <v>7.8E-2</v>
      </c>
      <c r="AH260">
        <v>0.11700000000000001</v>
      </c>
      <c r="AI260">
        <v>0.21099999999999999</v>
      </c>
      <c r="AJ260">
        <v>0.38600000000000001</v>
      </c>
      <c r="AK260">
        <v>0.433</v>
      </c>
      <c r="AL260">
        <v>0.374</v>
      </c>
      <c r="AM260">
        <v>0.34899999999999998</v>
      </c>
      <c r="AN260">
        <v>0.41199999999999998</v>
      </c>
      <c r="AO260">
        <v>0.26</v>
      </c>
      <c r="AP260">
        <v>0.24299999999999999</v>
      </c>
      <c r="AQ260">
        <v>6.6000000000000003E-2</v>
      </c>
      <c r="AR260">
        <v>3.3000000000000002E-2</v>
      </c>
      <c r="AS260">
        <v>4.4999999999999998E-2</v>
      </c>
      <c r="AT260">
        <v>0.115</v>
      </c>
      <c r="AU260">
        <v>0.24</v>
      </c>
      <c r="AV260">
        <v>0.315</v>
      </c>
      <c r="AW260">
        <v>0.34100000000000003</v>
      </c>
      <c r="AX260">
        <v>0.40799999999999997</v>
      </c>
      <c r="AY260">
        <v>0.374</v>
      </c>
      <c r="AZ260">
        <v>0.379</v>
      </c>
    </row>
    <row r="261" spans="2:52">
      <c r="B261" t="s">
        <v>1067</v>
      </c>
      <c r="C261">
        <v>37663470</v>
      </c>
      <c r="D261" t="s">
        <v>384</v>
      </c>
      <c r="F261" s="1" t="s">
        <v>1061</v>
      </c>
      <c r="G261" s="1" t="s">
        <v>1068</v>
      </c>
      <c r="H261" t="s">
        <v>198</v>
      </c>
      <c r="K261" t="s">
        <v>1069</v>
      </c>
      <c r="L261" s="7">
        <v>3.944554030874786</v>
      </c>
      <c r="M261" s="8">
        <v>42362</v>
      </c>
      <c r="N261">
        <v>12</v>
      </c>
      <c r="O261" t="s">
        <v>71</v>
      </c>
      <c r="P261">
        <v>2015</v>
      </c>
      <c r="Q261">
        <v>0.1696</v>
      </c>
      <c r="R261" s="10">
        <v>0.05</v>
      </c>
      <c r="S261">
        <f>ROUND(ТабCЕС[[#This Row],[Зелений Тариф ЕЦ]]+ТабCЕС[[#This Row],[Зелений Тариф ЕЦ]]*ТабCЕС[[#This Row],[% надбавки]],4)</f>
        <v>0.17810000000000001</v>
      </c>
      <c r="T261" s="8">
        <v>43263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0.99099999999999999</v>
      </c>
      <c r="AB261">
        <v>0.91699999999999993</v>
      </c>
      <c r="AC261">
        <v>0.53000000000000025</v>
      </c>
      <c r="AD261">
        <v>0.26899999999999968</v>
      </c>
      <c r="AE261">
        <v>0.2280000000000002</v>
      </c>
      <c r="AF261">
        <v>0.13499999999999979</v>
      </c>
      <c r="AG261">
        <v>0.14299999999999999</v>
      </c>
      <c r="AH261">
        <v>0.18099999999999999</v>
      </c>
      <c r="AI261">
        <v>0.307</v>
      </c>
      <c r="AJ261">
        <v>0.61299999999999999</v>
      </c>
      <c r="AK261">
        <v>0.68600000000000005</v>
      </c>
      <c r="AL261">
        <v>0.58799999999999997</v>
      </c>
      <c r="AM261">
        <v>0.55100000000000005</v>
      </c>
      <c r="AN261">
        <v>0.65900000000000003</v>
      </c>
      <c r="AO261">
        <v>0.42099999999999999</v>
      </c>
      <c r="AP261">
        <v>0.39500000000000002</v>
      </c>
      <c r="AQ261">
        <v>0.10299999999999999</v>
      </c>
      <c r="AR261">
        <v>5.6000000000000001E-2</v>
      </c>
      <c r="AS261">
        <v>7.0999999999999994E-2</v>
      </c>
      <c r="AT261">
        <v>0.182</v>
      </c>
      <c r="AU261">
        <v>0.38600000000000001</v>
      </c>
      <c r="AV261">
        <v>0.505</v>
      </c>
      <c r="AW261">
        <v>0.54300000000000004</v>
      </c>
      <c r="AX261">
        <v>0.65200000000000002</v>
      </c>
      <c r="AY261">
        <v>0.59499999999999997</v>
      </c>
      <c r="AZ261">
        <v>0.60799999999999998</v>
      </c>
    </row>
    <row r="262" spans="2:52">
      <c r="B262" t="s">
        <v>1070</v>
      </c>
      <c r="C262">
        <v>37663470</v>
      </c>
      <c r="D262" t="s">
        <v>384</v>
      </c>
      <c r="F262" s="1" t="s">
        <v>1061</v>
      </c>
      <c r="G262" s="1" t="s">
        <v>1071</v>
      </c>
      <c r="H262" t="s">
        <v>73</v>
      </c>
      <c r="K262" t="s">
        <v>1072</v>
      </c>
      <c r="L262" s="7">
        <v>5.7619999999999996</v>
      </c>
      <c r="M262" s="8">
        <v>42880</v>
      </c>
      <c r="N262">
        <v>5</v>
      </c>
      <c r="O262" t="s">
        <v>57</v>
      </c>
      <c r="P262">
        <v>2017</v>
      </c>
      <c r="Q262">
        <v>0.15029999999999999</v>
      </c>
      <c r="R262" s="10">
        <v>0.05</v>
      </c>
      <c r="S262">
        <f>ROUND(ТабCЕС[[#This Row],[Зелений Тариф ЕЦ]]+ТабCЕС[[#This Row],[Зелений Тариф ЕЦ]]*ТабCЕС[[#This Row],[% надбавки]],4)</f>
        <v>0.1578</v>
      </c>
      <c r="T262" s="8">
        <v>43096</v>
      </c>
      <c r="U262">
        <v>8.9999999999999993E-3</v>
      </c>
      <c r="V262">
        <v>1.2000000000000002E-2</v>
      </c>
      <c r="W262">
        <v>2.1000000000000001E-2</v>
      </c>
      <c r="X262">
        <v>2.8999999999999991E-2</v>
      </c>
      <c r="Y262">
        <v>2.700000000000001E-2</v>
      </c>
      <c r="Z262">
        <v>1.999999999999999E-2</v>
      </c>
      <c r="AA262">
        <v>6.2E-2</v>
      </c>
      <c r="AB262">
        <v>3.3000000000000002E-2</v>
      </c>
      <c r="AC262">
        <v>0.03</v>
      </c>
      <c r="AD262">
        <v>1.2000000000000011E-2</v>
      </c>
      <c r="AE262">
        <v>5.0000000000000044E-3</v>
      </c>
      <c r="AF262">
        <v>3.0000000000000027E-3</v>
      </c>
      <c r="AG262">
        <v>0.17699999999999999</v>
      </c>
      <c r="AH262">
        <v>0.28199999999999997</v>
      </c>
      <c r="AI262">
        <v>0.49099999999999999</v>
      </c>
      <c r="AJ262">
        <v>0.94899999999999995</v>
      </c>
      <c r="AK262">
        <v>1.0089999999999999</v>
      </c>
      <c r="AL262">
        <v>0.97199999999999998</v>
      </c>
      <c r="AM262">
        <v>0.77900000000000003</v>
      </c>
      <c r="AN262">
        <v>1.018</v>
      </c>
      <c r="AO262">
        <v>0.59399999999999997</v>
      </c>
      <c r="AP262">
        <v>0.7</v>
      </c>
      <c r="AQ262">
        <v>0.251</v>
      </c>
      <c r="AR262">
        <v>0.113</v>
      </c>
      <c r="AS262">
        <v>0.16500000000000001</v>
      </c>
      <c r="AT262">
        <v>0.29299999999999998</v>
      </c>
      <c r="AU262">
        <v>0.69</v>
      </c>
      <c r="AV262">
        <v>0.88700000000000001</v>
      </c>
      <c r="AW262">
        <v>0.88700000000000001</v>
      </c>
      <c r="AX262">
        <v>0.94399999999999995</v>
      </c>
      <c r="AY262">
        <v>0.96199999999999997</v>
      </c>
      <c r="AZ262">
        <v>0.91200000000000003</v>
      </c>
    </row>
    <row r="263" spans="2:52">
      <c r="B263" t="s">
        <v>1073</v>
      </c>
      <c r="C263">
        <v>37663470</v>
      </c>
      <c r="D263" t="s">
        <v>384</v>
      </c>
      <c r="F263" s="1" t="s">
        <v>1061</v>
      </c>
      <c r="G263" s="1" t="s">
        <v>1074</v>
      </c>
      <c r="H263" t="s">
        <v>73</v>
      </c>
      <c r="K263" t="s">
        <v>1075</v>
      </c>
      <c r="L263" s="7">
        <v>5.9580000000000002</v>
      </c>
      <c r="M263" s="8">
        <v>43277</v>
      </c>
      <c r="N263">
        <v>6</v>
      </c>
      <c r="O263" t="s">
        <v>57</v>
      </c>
      <c r="P263">
        <v>2018</v>
      </c>
      <c r="Q263">
        <v>0.15029999999999999</v>
      </c>
      <c r="R263" s="10">
        <v>0.05</v>
      </c>
      <c r="S263">
        <f>ROUND(ТабCЕС[[#This Row],[Зелений Тариф ЕЦ]]+ТабCЕС[[#This Row],[Зелений Тариф ЕЦ]]*ТабCЕС[[#This Row],[% надбавки]],4)</f>
        <v>0.1578</v>
      </c>
      <c r="T263" s="8">
        <v>43371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0.246</v>
      </c>
      <c r="AM263">
        <v>0.88</v>
      </c>
      <c r="AN263">
        <v>0.97499999999999998</v>
      </c>
      <c r="AO263">
        <v>1.034</v>
      </c>
      <c r="AP263">
        <v>1.2689999999999999</v>
      </c>
      <c r="AQ263">
        <v>0.46300000000000002</v>
      </c>
      <c r="AR263">
        <v>0.16400000000000001</v>
      </c>
      <c r="AS263">
        <v>0.30099999999999999</v>
      </c>
      <c r="AT263">
        <v>0.55200000000000005</v>
      </c>
      <c r="AU263">
        <v>1.373</v>
      </c>
      <c r="AV263">
        <v>1.583</v>
      </c>
      <c r="AW263">
        <v>1.617</v>
      </c>
      <c r="AX263">
        <v>1.68</v>
      </c>
      <c r="AY263">
        <v>1.7529999999999999</v>
      </c>
      <c r="AZ263">
        <v>1.73</v>
      </c>
    </row>
    <row r="264" spans="2:52">
      <c r="B264" t="s">
        <v>1076</v>
      </c>
      <c r="C264">
        <v>37663470</v>
      </c>
      <c r="D264" t="s">
        <v>384</v>
      </c>
      <c r="F264" s="1" t="s">
        <v>1061</v>
      </c>
      <c r="G264" s="1" t="s">
        <v>1077</v>
      </c>
      <c r="H264" t="s">
        <v>73</v>
      </c>
      <c r="K264" t="s">
        <v>1078</v>
      </c>
      <c r="L264" s="7">
        <v>4.8230000000000004</v>
      </c>
      <c r="M264" s="8">
        <v>43300</v>
      </c>
      <c r="N264">
        <v>7</v>
      </c>
      <c r="O264" t="s">
        <v>60</v>
      </c>
      <c r="P264">
        <v>2018</v>
      </c>
      <c r="Q264">
        <v>0.15029999999999999</v>
      </c>
      <c r="R264" s="10">
        <v>0.05</v>
      </c>
      <c r="S264">
        <f>ROUND(ТабCЕС[[#This Row],[Зелений Тариф ЕЦ]]+ТабCЕС[[#This Row],[Зелений Тариф ЕЦ]]*ТабCЕС[[#This Row],[% надбавки]],4)</f>
        <v>0.1578</v>
      </c>
      <c r="T264" s="8">
        <v>43371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2:52" ht="25.5">
      <c r="B265" t="s">
        <v>1079</v>
      </c>
      <c r="C265">
        <v>3756916</v>
      </c>
      <c r="D265" t="s">
        <v>384</v>
      </c>
      <c r="F265" s="1" t="s">
        <v>1080</v>
      </c>
      <c r="G265" s="1" t="s">
        <v>1081</v>
      </c>
      <c r="H265" t="s">
        <v>136</v>
      </c>
      <c r="I265" t="s">
        <v>386</v>
      </c>
      <c r="K265" t="s">
        <v>1082</v>
      </c>
      <c r="L265" s="7">
        <v>0.24</v>
      </c>
      <c r="M265" s="8">
        <v>42509</v>
      </c>
      <c r="N265">
        <v>5</v>
      </c>
      <c r="O265" t="s">
        <v>57</v>
      </c>
      <c r="P265">
        <v>2016</v>
      </c>
      <c r="Q265">
        <v>0.1696</v>
      </c>
      <c r="R265" s="10"/>
      <c r="S265">
        <f>ROUND(ТабCЕС[[#This Row],[Зелений Тариф ЕЦ]]+ТабCЕС[[#This Row],[Зелений Тариф ЕЦ]]*ТабCЕС[[#This Row],[% надбавки]],4)</f>
        <v>0.1696</v>
      </c>
      <c r="T265" s="8"/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3.0000000000000001E-3</v>
      </c>
      <c r="AH265">
        <v>6.0000000000000001E-3</v>
      </c>
      <c r="AI265">
        <v>1.2999999999999999E-2</v>
      </c>
      <c r="AJ265">
        <v>3.2000000000000001E-2</v>
      </c>
      <c r="AK265">
        <v>3.9E-2</v>
      </c>
      <c r="AL265">
        <v>3.3000000000000002E-2</v>
      </c>
      <c r="AM265">
        <v>3.4000000000000002E-2</v>
      </c>
      <c r="AN265">
        <v>3.7999999999999999E-2</v>
      </c>
      <c r="AO265">
        <v>2.1999999999999999E-2</v>
      </c>
      <c r="AP265">
        <v>1.7999999999999999E-2</v>
      </c>
      <c r="AQ265">
        <v>6.0000000000000001E-3</v>
      </c>
      <c r="AR265">
        <v>1E-3</v>
      </c>
      <c r="AS265">
        <v>5.0000000000000001E-3</v>
      </c>
      <c r="AT265">
        <v>0.01</v>
      </c>
      <c r="AU265">
        <v>2.1999999999999999E-2</v>
      </c>
      <c r="AV265">
        <v>3.1E-2</v>
      </c>
      <c r="AW265">
        <v>2.9000000000000001E-2</v>
      </c>
      <c r="AX265">
        <v>3.5000000000000003E-2</v>
      </c>
      <c r="AY265">
        <v>3.4000000000000002E-2</v>
      </c>
      <c r="AZ265">
        <v>3.4000000000000002E-2</v>
      </c>
    </row>
    <row r="266" spans="2:52" ht="25.5">
      <c r="B266" t="s">
        <v>1083</v>
      </c>
      <c r="C266">
        <v>3756916</v>
      </c>
      <c r="D266" t="s">
        <v>384</v>
      </c>
      <c r="F266" s="1" t="s">
        <v>1080</v>
      </c>
      <c r="G266" s="1" t="s">
        <v>1084</v>
      </c>
      <c r="H266" t="s">
        <v>122</v>
      </c>
      <c r="K266" t="s">
        <v>1085</v>
      </c>
      <c r="L266" s="7">
        <v>0.40300000000000002</v>
      </c>
      <c r="M266" s="8">
        <v>42803</v>
      </c>
      <c r="N266">
        <v>3</v>
      </c>
      <c r="O266" t="s">
        <v>67</v>
      </c>
      <c r="P266">
        <v>2017</v>
      </c>
      <c r="Q266">
        <v>0.15989999999999999</v>
      </c>
      <c r="R266" s="10"/>
      <c r="S266">
        <f>ROUND(ТабCЕС[[#This Row],[Зелений Тариф ЕЦ]]+ТабCЕС[[#This Row],[Зелений Тариф ЕЦ]]*ТабCЕС[[#This Row],[% надбавки]],4)</f>
        <v>0.15989999999999999</v>
      </c>
      <c r="T266" s="8"/>
      <c r="U266">
        <v>0</v>
      </c>
      <c r="V266">
        <v>0</v>
      </c>
      <c r="W266">
        <v>0</v>
      </c>
      <c r="X266">
        <v>0</v>
      </c>
      <c r="Y266">
        <v>1.0999999999999999E-2</v>
      </c>
      <c r="Z266">
        <v>7.9000000000000001E-2</v>
      </c>
      <c r="AA266">
        <v>3.6000000000000004E-2</v>
      </c>
      <c r="AB266">
        <v>5.6999999999999995E-2</v>
      </c>
      <c r="AC266">
        <v>5.3999999999999992E-2</v>
      </c>
      <c r="AD266">
        <v>2.4000000000000021E-2</v>
      </c>
      <c r="AE266">
        <v>9.000000000000008E-3</v>
      </c>
      <c r="AF266">
        <v>6.0000000000000053E-3</v>
      </c>
      <c r="AG266">
        <v>6.0000000000000001E-3</v>
      </c>
      <c r="AH266">
        <v>1.4E-2</v>
      </c>
      <c r="AI266">
        <v>3.2000000000000001E-2</v>
      </c>
      <c r="AJ266">
        <v>0.06</v>
      </c>
      <c r="AK266">
        <v>6.8000000000000005E-2</v>
      </c>
      <c r="AL266">
        <v>6.7000000000000004E-2</v>
      </c>
      <c r="AM266">
        <v>0.06</v>
      </c>
      <c r="AN266">
        <v>6.7000000000000004E-2</v>
      </c>
      <c r="AO266">
        <v>4.1000000000000002E-2</v>
      </c>
      <c r="AP266">
        <v>3.7999999999999999E-2</v>
      </c>
      <c r="AQ266">
        <v>1.4E-2</v>
      </c>
      <c r="AR266">
        <v>3.0000000000000001E-3</v>
      </c>
      <c r="AS266">
        <v>1.0999999999999999E-2</v>
      </c>
      <c r="AT266">
        <v>2.1000000000000001E-2</v>
      </c>
      <c r="AU266">
        <v>4.2999999999999997E-2</v>
      </c>
      <c r="AV266">
        <v>5.6000000000000001E-2</v>
      </c>
      <c r="AW266">
        <v>5.2999999999999999E-2</v>
      </c>
      <c r="AX266">
        <v>6.5000000000000002E-2</v>
      </c>
      <c r="AY266">
        <v>6.3E-2</v>
      </c>
      <c r="AZ266">
        <v>6.0999999999999999E-2</v>
      </c>
    </row>
    <row r="267" spans="2:52">
      <c r="C267" t="s">
        <v>58</v>
      </c>
      <c r="D267" t="s">
        <v>384</v>
      </c>
      <c r="F267" s="1" t="s">
        <v>1086</v>
      </c>
      <c r="G267" s="1" t="s">
        <v>384</v>
      </c>
      <c r="H267" t="s">
        <v>122</v>
      </c>
      <c r="K267" t="s">
        <v>1087</v>
      </c>
      <c r="L267" s="7">
        <v>1.1579999999999999</v>
      </c>
      <c r="M267" s="8">
        <v>43300</v>
      </c>
      <c r="N267">
        <v>7</v>
      </c>
      <c r="O267" t="s">
        <v>60</v>
      </c>
      <c r="P267">
        <v>2018</v>
      </c>
      <c r="Q267">
        <v>0.15029999999999999</v>
      </c>
      <c r="R267" s="10"/>
      <c r="S267">
        <f>ROUND(ТабCЕС[[#This Row],[Зелений Тариф ЕЦ]]+ТабCЕС[[#This Row],[Зелений Тариф ЕЦ]]*ТабCЕС[[#This Row],[% надбавки]],4)</f>
        <v>0.15029999999999999</v>
      </c>
      <c r="T267" s="8"/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4.7E-2</v>
      </c>
      <c r="AP267">
        <v>0.11600000000000001</v>
      </c>
      <c r="AQ267">
        <v>4.8000000000000001E-2</v>
      </c>
      <c r="AR267">
        <v>0.01</v>
      </c>
      <c r="AS267">
        <v>0.02</v>
      </c>
      <c r="AT267">
        <v>5.1999999999999998E-2</v>
      </c>
      <c r="AU267">
        <v>0.11799999999999999</v>
      </c>
      <c r="AV267">
        <v>0.16</v>
      </c>
      <c r="AW267">
        <v>0.16300000000000001</v>
      </c>
      <c r="AX267">
        <v>0.17599999999999999</v>
      </c>
      <c r="AY267">
        <v>0.188</v>
      </c>
      <c r="AZ267">
        <v>0.221</v>
      </c>
    </row>
    <row r="268" spans="2:52">
      <c r="C268" t="s">
        <v>58</v>
      </c>
      <c r="D268" t="s">
        <v>384</v>
      </c>
      <c r="F268" s="1" t="s">
        <v>1086</v>
      </c>
      <c r="G268" s="1" t="s">
        <v>384</v>
      </c>
      <c r="H268" t="s">
        <v>122</v>
      </c>
      <c r="K268" t="s">
        <v>1088</v>
      </c>
      <c r="L268" s="7">
        <v>1.2010000000000001</v>
      </c>
      <c r="M268" s="8">
        <v>43697</v>
      </c>
      <c r="N268">
        <v>8</v>
      </c>
      <c r="O268" t="s">
        <v>60</v>
      </c>
      <c r="P268">
        <v>2019</v>
      </c>
      <c r="Q268">
        <v>0.15029999999999999</v>
      </c>
      <c r="R268" s="10"/>
      <c r="S268">
        <f>ROUND(ТабCЕС[[#This Row],[Зелений Тариф ЕЦ]]+ТабCЕС[[#This Row],[Зелений Тариф ЕЦ]]*ТабCЕС[[#This Row],[% надбавки]],4)</f>
        <v>0.15029999999999999</v>
      </c>
      <c r="T268" s="8"/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2:52">
      <c r="B269" t="s">
        <v>1089</v>
      </c>
      <c r="C269">
        <v>38269586</v>
      </c>
      <c r="D269" t="s">
        <v>384</v>
      </c>
      <c r="F269" s="1" t="s">
        <v>1090</v>
      </c>
      <c r="G269" s="1" t="s">
        <v>992</v>
      </c>
      <c r="H269" t="s">
        <v>73</v>
      </c>
      <c r="K269" t="s">
        <v>1091</v>
      </c>
      <c r="L269" s="7">
        <v>0.53800000000000003</v>
      </c>
      <c r="M269" s="8">
        <v>42495</v>
      </c>
      <c r="N269">
        <v>5</v>
      </c>
      <c r="O269" t="s">
        <v>57</v>
      </c>
      <c r="P269">
        <v>2016</v>
      </c>
      <c r="Q269">
        <v>0.15989999999999999</v>
      </c>
      <c r="R269" s="10"/>
      <c r="S269">
        <f>ROUND(ТабCЕС[[#This Row],[Зелений Тариф ЕЦ]]+ТабCЕС[[#This Row],[Зелений Тариф ЕЦ]]*ТабCЕС[[#This Row],[% надбавки]],4)</f>
        <v>0.15989999999999999</v>
      </c>
      <c r="T269" s="8"/>
      <c r="U269">
        <v>0.215</v>
      </c>
      <c r="V269">
        <v>0.47799999999999998</v>
      </c>
      <c r="W269">
        <v>0.97200000000000009</v>
      </c>
      <c r="X269">
        <v>0.96</v>
      </c>
      <c r="Y269">
        <v>1.3319999999999999</v>
      </c>
      <c r="Z269">
        <v>1.343</v>
      </c>
      <c r="AA269">
        <v>1.3250000000000002</v>
      </c>
      <c r="AB269">
        <v>1.2119999999999997</v>
      </c>
      <c r="AC269">
        <v>1.072000000000001</v>
      </c>
      <c r="AD269">
        <v>0.53699999999999903</v>
      </c>
      <c r="AE269">
        <v>0.30000000000000071</v>
      </c>
      <c r="AF269">
        <v>0.18799999999999883</v>
      </c>
      <c r="AG269">
        <v>0.253</v>
      </c>
      <c r="AH269">
        <v>0.36099999999999999</v>
      </c>
      <c r="AI269">
        <v>0.64600000000000002</v>
      </c>
      <c r="AJ269">
        <v>1.2250000000000001</v>
      </c>
      <c r="AK269">
        <v>1.329</v>
      </c>
      <c r="AL269">
        <v>1.2609999999999999</v>
      </c>
      <c r="AM269">
        <v>1.2</v>
      </c>
      <c r="AN269">
        <v>1.3069999999999999</v>
      </c>
      <c r="AO269">
        <v>0.86299999999999999</v>
      </c>
      <c r="AP269">
        <v>0.92100000000000004</v>
      </c>
      <c r="AQ269">
        <v>0.32700000000000001</v>
      </c>
      <c r="AR269">
        <v>0.13500000000000001</v>
      </c>
      <c r="AS269">
        <v>0.184</v>
      </c>
      <c r="AT269">
        <v>0.39300000000000002</v>
      </c>
      <c r="AU269">
        <v>0.86599999999999999</v>
      </c>
      <c r="AV269">
        <v>1.141</v>
      </c>
      <c r="AW269">
        <v>1.1879999999999999</v>
      </c>
      <c r="AX269">
        <v>1.2330000000000001</v>
      </c>
      <c r="AY269">
        <v>1.286</v>
      </c>
      <c r="AZ269">
        <v>1.2330000000000001</v>
      </c>
    </row>
    <row r="270" spans="2:52">
      <c r="B270" t="s">
        <v>1089</v>
      </c>
      <c r="C270">
        <v>38269586</v>
      </c>
      <c r="D270" t="s">
        <v>384</v>
      </c>
      <c r="F270" s="1" t="s">
        <v>1090</v>
      </c>
      <c r="G270" s="1" t="s">
        <v>994</v>
      </c>
      <c r="H270" t="s">
        <v>73</v>
      </c>
      <c r="K270" t="s">
        <v>1092</v>
      </c>
      <c r="L270" s="7">
        <v>0.53800000000000003</v>
      </c>
      <c r="M270" s="8">
        <v>42551</v>
      </c>
      <c r="N270">
        <v>6</v>
      </c>
      <c r="O270" t="s">
        <v>57</v>
      </c>
      <c r="P270">
        <v>2016</v>
      </c>
      <c r="Q270">
        <v>0.15989999999999999</v>
      </c>
      <c r="R270" s="10"/>
      <c r="S270">
        <f>ROUND(ТабCЕС[[#This Row],[Зелений Тариф ЕЦ]]+ТабCЕС[[#This Row],[Зелений Тариф ЕЦ]]*ТабCЕС[[#This Row],[% надбавки]],4)</f>
        <v>0.15989999999999999</v>
      </c>
      <c r="T270" s="8"/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2:52">
      <c r="B271" t="s">
        <v>1089</v>
      </c>
      <c r="C271">
        <v>38269586</v>
      </c>
      <c r="D271" t="s">
        <v>384</v>
      </c>
      <c r="F271" s="1" t="s">
        <v>1090</v>
      </c>
      <c r="G271" s="1" t="s">
        <v>441</v>
      </c>
      <c r="H271" t="s">
        <v>73</v>
      </c>
      <c r="K271" t="s">
        <v>1093</v>
      </c>
      <c r="L271" s="7">
        <v>2.78</v>
      </c>
      <c r="M271" s="8">
        <v>42860</v>
      </c>
      <c r="N271">
        <v>5</v>
      </c>
      <c r="O271" t="s">
        <v>57</v>
      </c>
      <c r="P271">
        <v>2017</v>
      </c>
      <c r="Q271">
        <v>0.15989999999999999</v>
      </c>
      <c r="R271" s="10"/>
      <c r="S271">
        <f>ROUND(ТабCЕС[[#This Row],[Зелений Тариф ЕЦ]]+ТабCЕС[[#This Row],[Зелений Тариф ЕЦ]]*ТабCЕС[[#This Row],[% надбавки]],4)</f>
        <v>0.15989999999999999</v>
      </c>
      <c r="T271" s="8"/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2:52">
      <c r="B272" t="s">
        <v>1089</v>
      </c>
      <c r="C272">
        <v>38269586</v>
      </c>
      <c r="D272" t="s">
        <v>384</v>
      </c>
      <c r="F272" s="1" t="s">
        <v>1090</v>
      </c>
      <c r="G272" s="1" t="s">
        <v>442</v>
      </c>
      <c r="H272" t="s">
        <v>73</v>
      </c>
      <c r="K272" t="s">
        <v>1094</v>
      </c>
      <c r="L272" s="7">
        <v>3.8570000000000002</v>
      </c>
      <c r="M272" s="8">
        <v>42860</v>
      </c>
      <c r="N272">
        <v>5</v>
      </c>
      <c r="O272" t="s">
        <v>57</v>
      </c>
      <c r="P272">
        <v>2017</v>
      </c>
      <c r="Q272">
        <v>0.15989999999999999</v>
      </c>
      <c r="R272" s="10"/>
      <c r="S272">
        <f>ROUND(ТабCЕС[[#This Row],[Зелений Тариф ЕЦ]]+ТабCЕС[[#This Row],[Зелений Тариф ЕЦ]]*ТабCЕС[[#This Row],[% надбавки]],4)</f>
        <v>0.15989999999999999</v>
      </c>
      <c r="T272" s="8"/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2:52">
      <c r="B273" t="s">
        <v>1095</v>
      </c>
      <c r="C273">
        <v>36808350</v>
      </c>
      <c r="D273" t="s">
        <v>384</v>
      </c>
      <c r="F273" s="1" t="s">
        <v>1096</v>
      </c>
      <c r="G273" s="1" t="s">
        <v>384</v>
      </c>
      <c r="H273" t="s">
        <v>98</v>
      </c>
      <c r="K273" t="s">
        <v>1097</v>
      </c>
      <c r="L273" s="7">
        <v>3.1160000000000001</v>
      </c>
      <c r="M273" s="8">
        <v>41263</v>
      </c>
      <c r="N273">
        <v>12</v>
      </c>
      <c r="O273" t="s">
        <v>71</v>
      </c>
      <c r="P273">
        <v>2012</v>
      </c>
      <c r="Q273">
        <v>0.46529999999999999</v>
      </c>
      <c r="R273" s="10"/>
      <c r="S273">
        <f>ROUND(ТабCЕС[[#This Row],[Зелений Тариф ЕЦ]]+ТабCЕС[[#This Row],[Зелений Тариф ЕЦ]]*ТабCЕС[[#This Row],[% надбавки]],4)</f>
        <v>0.46529999999999999</v>
      </c>
      <c r="T273" s="8"/>
      <c r="U273">
        <v>0.11</v>
      </c>
      <c r="V273">
        <v>0.192</v>
      </c>
      <c r="W273">
        <v>0.22000000000000003</v>
      </c>
      <c r="X273">
        <v>0.33799999999999997</v>
      </c>
      <c r="Y273">
        <v>0.38900000000000012</v>
      </c>
      <c r="Z273">
        <v>0.42899999999999983</v>
      </c>
      <c r="AA273">
        <v>0.45500000000000007</v>
      </c>
      <c r="AB273">
        <v>0.44200000000000017</v>
      </c>
      <c r="AC273">
        <v>0.28699999999999992</v>
      </c>
      <c r="AD273">
        <v>0.21099999999999985</v>
      </c>
      <c r="AE273">
        <v>0.125</v>
      </c>
      <c r="AF273">
        <v>5.600000000000005E-2</v>
      </c>
      <c r="AG273">
        <v>0.108</v>
      </c>
      <c r="AH273">
        <v>5.7000000000000002E-2</v>
      </c>
      <c r="AI273">
        <v>0.224</v>
      </c>
      <c r="AJ273">
        <v>0.41699999999999998</v>
      </c>
      <c r="AK273">
        <v>0.44600000000000001</v>
      </c>
      <c r="AL273">
        <v>0.36799999999999999</v>
      </c>
      <c r="AM273">
        <v>0.38600000000000001</v>
      </c>
      <c r="AN273">
        <v>0.41199999999999998</v>
      </c>
      <c r="AO273">
        <v>0.34100000000000003</v>
      </c>
      <c r="AP273">
        <v>0.26900000000000002</v>
      </c>
      <c r="AQ273">
        <v>0.112</v>
      </c>
      <c r="AR273">
        <v>4.7E-2</v>
      </c>
      <c r="AS273">
        <v>5.3999999999999999E-2</v>
      </c>
      <c r="AT273">
        <v>0.19500000000000001</v>
      </c>
      <c r="AU273">
        <v>0.28699999999999998</v>
      </c>
      <c r="AV273">
        <v>0.38700000000000001</v>
      </c>
      <c r="AW273">
        <v>0.28299999999999997</v>
      </c>
      <c r="AX273">
        <v>0.437</v>
      </c>
      <c r="AY273">
        <v>0.42699999999999999</v>
      </c>
      <c r="AZ273">
        <v>0.442</v>
      </c>
    </row>
    <row r="274" spans="2:52">
      <c r="B274" t="s">
        <v>1098</v>
      </c>
      <c r="C274">
        <v>38011587</v>
      </c>
      <c r="D274" t="s">
        <v>384</v>
      </c>
      <c r="F274" s="1" t="s">
        <v>1099</v>
      </c>
      <c r="G274" s="1" t="s">
        <v>384</v>
      </c>
      <c r="H274" t="s">
        <v>98</v>
      </c>
      <c r="K274" t="s">
        <v>1100</v>
      </c>
      <c r="L274" s="7">
        <v>1.0820000000000001</v>
      </c>
      <c r="M274" s="8">
        <v>41501</v>
      </c>
      <c r="N274">
        <v>8</v>
      </c>
      <c r="O274" t="s">
        <v>60</v>
      </c>
      <c r="P274">
        <v>2013</v>
      </c>
      <c r="Q274">
        <v>0.33929999999999999</v>
      </c>
      <c r="R274" s="10"/>
      <c r="S274">
        <f>ROUND(ТабCЕС[[#This Row],[Зелений Тариф ЕЦ]]+ТабCЕС[[#This Row],[Зелений Тариф ЕЦ]]*ТабCЕС[[#This Row],[% надбавки]],4)</f>
        <v>0.33929999999999999</v>
      </c>
      <c r="T274" s="8"/>
      <c r="U274">
        <v>0.04</v>
      </c>
      <c r="V274">
        <v>6.7000000000000004E-2</v>
      </c>
      <c r="W274">
        <v>7.8E-2</v>
      </c>
      <c r="X274">
        <v>0.11499999999999999</v>
      </c>
      <c r="Y274">
        <v>0.13400000000000001</v>
      </c>
      <c r="Z274">
        <v>0.14899999999999997</v>
      </c>
      <c r="AA274">
        <v>0.15000000000000002</v>
      </c>
      <c r="AB274">
        <v>0.14700000000000002</v>
      </c>
      <c r="AC274">
        <v>9.4999999999999973E-2</v>
      </c>
      <c r="AD274">
        <v>7.1000000000000063E-2</v>
      </c>
      <c r="AE274">
        <v>4.0999999999999925E-2</v>
      </c>
      <c r="AF274">
        <v>1.8000000000000016E-2</v>
      </c>
      <c r="AG274">
        <v>3.3000000000000002E-2</v>
      </c>
      <c r="AH274">
        <v>2.5999999999999999E-2</v>
      </c>
      <c r="AI274">
        <v>8.5999999999999993E-2</v>
      </c>
      <c r="AJ274">
        <v>0.13600000000000001</v>
      </c>
      <c r="AK274">
        <v>0.14799999999999999</v>
      </c>
      <c r="AL274">
        <v>0.121</v>
      </c>
      <c r="AM274">
        <v>0.122</v>
      </c>
      <c r="AN274">
        <v>0.13400000000000001</v>
      </c>
      <c r="AO274">
        <v>0.107</v>
      </c>
      <c r="AP274">
        <v>8.5999999999999993E-2</v>
      </c>
      <c r="AQ274">
        <v>3.5000000000000003E-2</v>
      </c>
      <c r="AR274">
        <v>1.4999999999999999E-2</v>
      </c>
      <c r="AS274">
        <v>1.6E-2</v>
      </c>
      <c r="AT274">
        <v>6.6000000000000003E-2</v>
      </c>
      <c r="AU274">
        <v>0.10100000000000001</v>
      </c>
      <c r="AV274">
        <v>0.128</v>
      </c>
      <c r="AW274">
        <v>9.9000000000000005E-2</v>
      </c>
      <c r="AX274">
        <v>0.156</v>
      </c>
      <c r="AY274">
        <v>0.14099999999999999</v>
      </c>
      <c r="AZ274">
        <v>0.14799999999999999</v>
      </c>
    </row>
    <row r="275" spans="2:52">
      <c r="B275" t="s">
        <v>1101</v>
      </c>
      <c r="C275">
        <v>38011587</v>
      </c>
      <c r="D275" t="s">
        <v>384</v>
      </c>
      <c r="F275" s="1" t="s">
        <v>1099</v>
      </c>
      <c r="G275" s="1" t="s">
        <v>384</v>
      </c>
      <c r="H275" t="s">
        <v>98</v>
      </c>
      <c r="K275" t="s">
        <v>1102</v>
      </c>
      <c r="L275" s="7">
        <v>4</v>
      </c>
      <c r="M275" s="8">
        <v>42362</v>
      </c>
      <c r="N275">
        <v>12</v>
      </c>
      <c r="O275" t="s">
        <v>71</v>
      </c>
      <c r="P275">
        <v>2015</v>
      </c>
      <c r="Q275">
        <v>0.1696</v>
      </c>
      <c r="R275" s="10"/>
      <c r="S275">
        <f>ROUND(ТабCЕС[[#This Row],[Зелений Тариф ЕЦ]]+ТабCЕС[[#This Row],[Зелений Тариф ЕЦ]]*ТабCЕС[[#This Row],[% надбавки]],4)</f>
        <v>0.1696</v>
      </c>
      <c r="T275" s="8"/>
      <c r="U275">
        <v>5.6000000000000001E-2</v>
      </c>
      <c r="V275">
        <v>6.6000000000000003E-2</v>
      </c>
      <c r="W275">
        <v>0.13100000000000001</v>
      </c>
      <c r="X275">
        <v>0.17099999999999999</v>
      </c>
      <c r="Y275">
        <v>0.17599999999999999</v>
      </c>
      <c r="Z275">
        <v>0.20400000000000007</v>
      </c>
      <c r="AA275">
        <v>0.19499999999999995</v>
      </c>
      <c r="AB275">
        <v>0.18400000000000005</v>
      </c>
      <c r="AC275">
        <v>0.14900000000000002</v>
      </c>
      <c r="AD275">
        <v>6.7999999999999838E-2</v>
      </c>
      <c r="AE275">
        <v>3.5000000000000142E-2</v>
      </c>
      <c r="AF275">
        <v>3.0310000000000001</v>
      </c>
      <c r="AG275">
        <v>0.158</v>
      </c>
      <c r="AH275">
        <v>0.13600000000000001</v>
      </c>
      <c r="AI275">
        <v>0.38200000000000001</v>
      </c>
      <c r="AJ275">
        <v>0.52700000000000002</v>
      </c>
      <c r="AK275">
        <v>0.59499999999999997</v>
      </c>
      <c r="AL275">
        <v>0.48899999999999999</v>
      </c>
      <c r="AM275">
        <v>0.503</v>
      </c>
      <c r="AN275">
        <v>0.54700000000000004</v>
      </c>
      <c r="AO275">
        <v>0.442</v>
      </c>
      <c r="AP275">
        <v>0.38300000000000001</v>
      </c>
      <c r="AQ275">
        <v>0.187</v>
      </c>
      <c r="AR275">
        <v>8.4000000000000005E-2</v>
      </c>
      <c r="AS275">
        <v>8.1000000000000003E-2</v>
      </c>
      <c r="AT275">
        <v>0.29699999999999999</v>
      </c>
      <c r="AU275">
        <v>0.39800000000000002</v>
      </c>
      <c r="AV275">
        <v>0.52400000000000002</v>
      </c>
      <c r="AW275">
        <v>0.39100000000000001</v>
      </c>
      <c r="AX275">
        <v>0.61</v>
      </c>
      <c r="AY275">
        <v>0.55600000000000005</v>
      </c>
      <c r="AZ275">
        <v>0.56200000000000006</v>
      </c>
    </row>
    <row r="276" spans="2:52">
      <c r="C276" t="s">
        <v>58</v>
      </c>
      <c r="D276" t="s">
        <v>384</v>
      </c>
      <c r="F276" s="1" t="s">
        <v>1103</v>
      </c>
      <c r="G276" s="1" t="s">
        <v>1104</v>
      </c>
      <c r="H276" t="s">
        <v>233</v>
      </c>
      <c r="K276" t="s">
        <v>1105</v>
      </c>
      <c r="L276" s="7">
        <v>1.7330000000000001</v>
      </c>
      <c r="M276" s="8">
        <v>43508</v>
      </c>
      <c r="N276">
        <v>2</v>
      </c>
      <c r="O276" t="s">
        <v>67</v>
      </c>
      <c r="P276">
        <v>2019</v>
      </c>
      <c r="Q276">
        <v>0.15029999999999999</v>
      </c>
      <c r="R276" s="10"/>
      <c r="S276">
        <f>ROUND(ТабCЕС[[#This Row],[Зелений Тариф ЕЦ]]+ТабCЕС[[#This Row],[Зелений Тариф ЕЦ]]*ТабCЕС[[#This Row],[% надбавки]],4)</f>
        <v>0.15029999999999999</v>
      </c>
      <c r="T276" s="8"/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3.3000000000000002E-2</v>
      </c>
      <c r="AT276">
        <v>0.121</v>
      </c>
      <c r="AU276">
        <v>0.20499999999999999</v>
      </c>
      <c r="AV276">
        <v>0.24399999999999999</v>
      </c>
      <c r="AW276">
        <v>0.192</v>
      </c>
      <c r="AX276">
        <v>0.30199999999999999</v>
      </c>
      <c r="AY276">
        <v>0.28899999999999998</v>
      </c>
      <c r="AZ276">
        <v>0.27300000000000002</v>
      </c>
    </row>
    <row r="277" spans="2:52">
      <c r="C277" t="s">
        <v>58</v>
      </c>
      <c r="D277" t="s">
        <v>384</v>
      </c>
      <c r="F277" s="1" t="s">
        <v>1106</v>
      </c>
      <c r="G277" s="1" t="s">
        <v>1107</v>
      </c>
      <c r="H277" t="s">
        <v>82</v>
      </c>
      <c r="K277" t="s">
        <v>1108</v>
      </c>
      <c r="L277" s="7">
        <v>20.463000000000001</v>
      </c>
      <c r="M277" s="8">
        <v>43522</v>
      </c>
      <c r="N277">
        <v>2</v>
      </c>
      <c r="O277" t="s">
        <v>67</v>
      </c>
      <c r="P277">
        <v>2019</v>
      </c>
      <c r="Q277">
        <v>0.15029999999999999</v>
      </c>
      <c r="R277" s="10"/>
      <c r="S277">
        <f>ROUND(ТабCЕС[[#This Row],[Зелений Тариф ЕЦ]]+ТабCЕС[[#This Row],[Зелений Тариф ЕЦ]]*ТабCЕС[[#This Row],[% надбавки]],4)</f>
        <v>0.15029999999999999</v>
      </c>
      <c r="T277" s="8"/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1.552</v>
      </c>
      <c r="AV277">
        <v>2.8260000000000001</v>
      </c>
      <c r="AW277">
        <v>2.75</v>
      </c>
      <c r="AX277">
        <v>2.855</v>
      </c>
      <c r="AY277">
        <v>3.149</v>
      </c>
      <c r="AZ277">
        <v>3.0539999999999998</v>
      </c>
    </row>
    <row r="278" spans="2:52">
      <c r="C278" t="s">
        <v>58</v>
      </c>
      <c r="D278" t="s">
        <v>384</v>
      </c>
      <c r="F278" s="1" t="s">
        <v>1109</v>
      </c>
      <c r="G278" s="1" t="s">
        <v>1110</v>
      </c>
      <c r="H278" t="s">
        <v>198</v>
      </c>
      <c r="K278" t="s">
        <v>1111</v>
      </c>
      <c r="L278" s="7">
        <v>11.595000000000001</v>
      </c>
      <c r="M278" s="8">
        <v>43494</v>
      </c>
      <c r="N278">
        <v>1</v>
      </c>
      <c r="O278" t="s">
        <v>67</v>
      </c>
      <c r="P278">
        <v>2019</v>
      </c>
      <c r="Q278">
        <v>0.15029999999999999</v>
      </c>
      <c r="R278" s="10"/>
      <c r="S278">
        <f>ROUND(ТабCЕС[[#This Row],[Зелений Тариф ЕЦ]]+ТабCЕС[[#This Row],[Зелений Тариф ЕЦ]]*ТабCЕС[[#This Row],[% надбавки]],4)</f>
        <v>0.15029999999999999</v>
      </c>
      <c r="T278" s="8"/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0.42699999999999999</v>
      </c>
      <c r="AU278">
        <v>1.08</v>
      </c>
      <c r="AV278">
        <v>1.4870000000000001</v>
      </c>
      <c r="AW278">
        <v>1.5780000000000001</v>
      </c>
      <c r="AX278">
        <v>2.004</v>
      </c>
      <c r="AY278">
        <v>1.8160000000000001</v>
      </c>
      <c r="AZ278">
        <v>1.8420000000000001</v>
      </c>
    </row>
    <row r="279" spans="2:52">
      <c r="C279" t="s">
        <v>58</v>
      </c>
      <c r="D279" t="s">
        <v>384</v>
      </c>
      <c r="F279" s="1" t="s">
        <v>1112</v>
      </c>
      <c r="G279" s="1" t="s">
        <v>1110</v>
      </c>
      <c r="H279" t="s">
        <v>198</v>
      </c>
      <c r="K279" t="s">
        <v>1113</v>
      </c>
      <c r="L279" s="7">
        <v>11.411</v>
      </c>
      <c r="M279" s="8">
        <v>43476</v>
      </c>
      <c r="N279">
        <v>1</v>
      </c>
      <c r="O279" t="s">
        <v>67</v>
      </c>
      <c r="P279">
        <v>2019</v>
      </c>
      <c r="Q279">
        <v>0.15029999999999999</v>
      </c>
      <c r="R279" s="10"/>
      <c r="S279">
        <f>ROUND(ТабCЕС[[#This Row],[Зелений Тариф ЕЦ]]+ТабCЕС[[#This Row],[Зелений Тариф ЕЦ]]*ТабCЕС[[#This Row],[% надбавки]],4)</f>
        <v>0.15029999999999999</v>
      </c>
      <c r="T279" s="8"/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0.309</v>
      </c>
      <c r="AU279">
        <v>0.9</v>
      </c>
      <c r="AV279">
        <v>1.2649999999999999</v>
      </c>
      <c r="AW279">
        <v>1.546</v>
      </c>
      <c r="AX279">
        <v>2.0219999999999998</v>
      </c>
      <c r="AY279">
        <v>1.804</v>
      </c>
      <c r="AZ279">
        <v>1.8540000000000001</v>
      </c>
    </row>
    <row r="280" spans="2:52">
      <c r="C280" t="s">
        <v>58</v>
      </c>
      <c r="D280" t="s">
        <v>384</v>
      </c>
      <c r="F280" s="1" t="s">
        <v>1114</v>
      </c>
      <c r="G280" s="1" t="s">
        <v>1115</v>
      </c>
      <c r="H280" t="s">
        <v>198</v>
      </c>
      <c r="K280" t="s">
        <v>1116</v>
      </c>
      <c r="L280" s="7">
        <v>10.864000000000001</v>
      </c>
      <c r="M280" s="8">
        <v>43403</v>
      </c>
      <c r="N280">
        <v>10</v>
      </c>
      <c r="O280" t="s">
        <v>71</v>
      </c>
      <c r="P280">
        <v>2018</v>
      </c>
      <c r="Q280">
        <v>0.15029999999999999</v>
      </c>
      <c r="R280" s="10">
        <v>0.05</v>
      </c>
      <c r="S280">
        <f>ROUND(ТабCЕС[[#This Row],[Зелений Тариф ЕЦ]]+ТабCЕС[[#This Row],[Зелений Тариф ЕЦ]]*ТабCЕС[[#This Row],[% надбавки]],4)</f>
        <v>0.1578</v>
      </c>
      <c r="T280" s="8">
        <v>43455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0.28499999999999998</v>
      </c>
      <c r="AR280">
        <v>0.11799999999999999</v>
      </c>
      <c r="AS280">
        <v>9.9000000000000005E-2</v>
      </c>
      <c r="AT280">
        <v>0.53600000000000003</v>
      </c>
      <c r="AU280">
        <v>1.0329999999999999</v>
      </c>
      <c r="AV280">
        <v>1.3939999999999999</v>
      </c>
      <c r="AW280">
        <v>1.5629999999999999</v>
      </c>
      <c r="AX280">
        <v>1.849</v>
      </c>
      <c r="AY280">
        <v>1.7250000000000001</v>
      </c>
      <c r="AZ280">
        <v>1.716</v>
      </c>
    </row>
    <row r="281" spans="2:52">
      <c r="C281" t="s">
        <v>58</v>
      </c>
      <c r="D281" t="s">
        <v>384</v>
      </c>
      <c r="F281" s="1" t="s">
        <v>1117</v>
      </c>
      <c r="G281" s="1" t="s">
        <v>1118</v>
      </c>
      <c r="H281" t="s">
        <v>136</v>
      </c>
      <c r="K281" t="s">
        <v>1119</v>
      </c>
      <c r="L281" s="7">
        <v>15.606</v>
      </c>
      <c r="M281" s="8">
        <v>43602</v>
      </c>
      <c r="N281">
        <v>5</v>
      </c>
      <c r="O281" t="s">
        <v>57</v>
      </c>
      <c r="P281">
        <v>2019</v>
      </c>
      <c r="Q281">
        <v>0.15029999999999999</v>
      </c>
      <c r="R281" s="10">
        <v>0.05</v>
      </c>
      <c r="S281">
        <f>ROUND(ТабCЕС[[#This Row],[Зелений Тариф ЕЦ]]+ТабCЕС[[#This Row],[Зелений Тариф ЕЦ]]*ТабCЕС[[#This Row],[% надбавки]],4)</f>
        <v>0.1578</v>
      </c>
      <c r="T281" s="8">
        <v>43671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2.2269999999999999</v>
      </c>
      <c r="AY281">
        <v>2.5449999999999999</v>
      </c>
      <c r="AZ281">
        <v>2.468</v>
      </c>
    </row>
    <row r="282" spans="2:52">
      <c r="C282" t="s">
        <v>58</v>
      </c>
      <c r="D282" t="s">
        <v>384</v>
      </c>
      <c r="F282" s="1" t="s">
        <v>1120</v>
      </c>
      <c r="G282" s="1" t="s">
        <v>1121</v>
      </c>
      <c r="H282" t="s">
        <v>136</v>
      </c>
      <c r="K282" t="s">
        <v>1122</v>
      </c>
      <c r="L282" s="7">
        <v>12.999000000000001</v>
      </c>
      <c r="M282" s="8">
        <v>43602</v>
      </c>
      <c r="N282">
        <v>5</v>
      </c>
      <c r="O282" t="s">
        <v>57</v>
      </c>
      <c r="P282">
        <v>2019</v>
      </c>
      <c r="Q282">
        <v>0.15029999999999999</v>
      </c>
      <c r="R282" s="10">
        <v>0.05</v>
      </c>
      <c r="S282">
        <f>ROUND(ТабCЕС[[#This Row],[Зелений Тариф ЕЦ]]+ТабCЕС[[#This Row],[Зелений Тариф ЕЦ]]*ТабCЕС[[#This Row],[% надбавки]],4)</f>
        <v>0.1578</v>
      </c>
      <c r="T282" s="8">
        <v>43671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1.9950000000000001</v>
      </c>
      <c r="AY282">
        <v>2.1339999999999999</v>
      </c>
      <c r="AZ282">
        <v>2.0579999999999998</v>
      </c>
    </row>
    <row r="283" spans="2:52">
      <c r="C283" t="s">
        <v>58</v>
      </c>
      <c r="D283" t="s">
        <v>384</v>
      </c>
      <c r="F283" s="1" t="s">
        <v>1123</v>
      </c>
      <c r="G283" s="1" t="s">
        <v>384</v>
      </c>
      <c r="H283" t="s">
        <v>65</v>
      </c>
      <c r="K283" t="s">
        <v>1124</v>
      </c>
      <c r="L283" s="7">
        <v>1.04</v>
      </c>
      <c r="M283" s="8">
        <v>43396</v>
      </c>
      <c r="N283">
        <v>10</v>
      </c>
      <c r="O283" t="s">
        <v>71</v>
      </c>
      <c r="P283">
        <v>2018</v>
      </c>
      <c r="Q283">
        <v>0.15029999999999999</v>
      </c>
      <c r="R283" s="10"/>
      <c r="S283">
        <f>ROUND(ТабCЕС[[#This Row],[Зелений Тариф ЕЦ]]+ТабCЕС[[#This Row],[Зелений Тариф ЕЦ]]*ТабCЕС[[#This Row],[% надбавки]],4)</f>
        <v>0.15029999999999999</v>
      </c>
      <c r="T283" s="8"/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3.1E-2</v>
      </c>
      <c r="AR283">
        <v>8.0000000000000002E-3</v>
      </c>
      <c r="AS283">
        <v>1.2E-2</v>
      </c>
      <c r="AT283">
        <v>6.9000000000000006E-2</v>
      </c>
      <c r="AU283">
        <v>6.7000000000000004E-2</v>
      </c>
      <c r="AV283">
        <v>0.122</v>
      </c>
      <c r="AW283">
        <v>9.9000000000000005E-2</v>
      </c>
      <c r="AX283">
        <v>0.13600000000000001</v>
      </c>
      <c r="AY283">
        <v>0.152</v>
      </c>
      <c r="AZ283">
        <v>0.154</v>
      </c>
    </row>
    <row r="284" spans="2:52">
      <c r="C284" t="s">
        <v>58</v>
      </c>
      <c r="D284" t="s">
        <v>384</v>
      </c>
      <c r="F284" s="1" t="s">
        <v>1125</v>
      </c>
      <c r="G284" s="1" t="s">
        <v>1126</v>
      </c>
      <c r="H284" t="s">
        <v>73</v>
      </c>
      <c r="K284" t="s">
        <v>1127</v>
      </c>
      <c r="L284" s="7">
        <v>11.744999999999999</v>
      </c>
      <c r="M284" s="8">
        <v>43616</v>
      </c>
      <c r="N284">
        <v>5</v>
      </c>
      <c r="O284" t="s">
        <v>57</v>
      </c>
      <c r="P284">
        <v>2019</v>
      </c>
      <c r="Q284">
        <v>0.15029999999999999</v>
      </c>
      <c r="R284" s="10">
        <v>0.05</v>
      </c>
      <c r="S284">
        <f>ROUND(ТабCЕС[[#This Row],[Зелений Тариф ЕЦ]]+ТабCЕС[[#This Row],[Зелений Тариф ЕЦ]]*ТабCЕС[[#This Row],[% надбавки]],4)</f>
        <v>0.1578</v>
      </c>
      <c r="T284" s="8">
        <v>43683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1.7589999999999999</v>
      </c>
    </row>
    <row r="285" spans="2:52">
      <c r="C285" t="s">
        <v>58</v>
      </c>
      <c r="D285" t="s">
        <v>384</v>
      </c>
      <c r="F285" s="1" t="s">
        <v>1128</v>
      </c>
      <c r="G285" s="1" t="s">
        <v>1129</v>
      </c>
      <c r="H285" t="s">
        <v>107</v>
      </c>
      <c r="K285" t="s">
        <v>1130</v>
      </c>
      <c r="L285" s="7">
        <v>2.2799999999999998</v>
      </c>
      <c r="M285" s="8">
        <v>43158</v>
      </c>
      <c r="N285">
        <v>2</v>
      </c>
      <c r="O285" t="s">
        <v>67</v>
      </c>
      <c r="P285">
        <v>2018</v>
      </c>
      <c r="Q285">
        <v>0.15029999999999999</v>
      </c>
      <c r="R285" s="10"/>
      <c r="S285">
        <f>ROUND(ТабCЕС[[#This Row],[Зелений Тариф ЕЦ]]+ТабCЕС[[#This Row],[Зелений Тариф ЕЦ]]*ТабCЕС[[#This Row],[% надбавки]],4)</f>
        <v>0.15029999999999999</v>
      </c>
      <c r="T285" s="8"/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0.111</v>
      </c>
      <c r="AJ285">
        <v>0.33500000000000002</v>
      </c>
      <c r="AK285">
        <v>0.40300000000000002</v>
      </c>
      <c r="AL285">
        <v>0.34899999999999998</v>
      </c>
      <c r="AM285">
        <v>0.32300000000000001</v>
      </c>
      <c r="AN285">
        <v>0.379</v>
      </c>
      <c r="AO285">
        <v>0.69</v>
      </c>
      <c r="AP285">
        <v>0.71499999999999997</v>
      </c>
      <c r="AQ285">
        <v>0.19700000000000001</v>
      </c>
      <c r="AR285">
        <v>2.5000000000000001E-2</v>
      </c>
      <c r="AS285">
        <v>5.3999999999999999E-2</v>
      </c>
      <c r="AT285">
        <v>0.34699999999999998</v>
      </c>
      <c r="AU285">
        <v>0.94299999999999995</v>
      </c>
      <c r="AV285">
        <v>1.4179999999999999</v>
      </c>
      <c r="AW285">
        <v>1.6259999999999999</v>
      </c>
      <c r="AX285">
        <v>1.98</v>
      </c>
      <c r="AY285">
        <v>1.8540000000000001</v>
      </c>
      <c r="AZ285">
        <v>2.09</v>
      </c>
    </row>
    <row r="286" spans="2:52">
      <c r="C286" t="s">
        <v>58</v>
      </c>
      <c r="D286" t="s">
        <v>384</v>
      </c>
      <c r="F286" s="1" t="s">
        <v>1128</v>
      </c>
      <c r="G286" s="1" t="s">
        <v>1131</v>
      </c>
      <c r="H286" t="s">
        <v>107</v>
      </c>
      <c r="K286" t="s">
        <v>1132</v>
      </c>
      <c r="L286" s="7">
        <v>2.2869999999999999</v>
      </c>
      <c r="M286" s="8">
        <v>43277</v>
      </c>
      <c r="N286">
        <v>6</v>
      </c>
      <c r="O286" t="s">
        <v>57</v>
      </c>
      <c r="P286">
        <v>2018</v>
      </c>
      <c r="Q286">
        <v>0.15029999999999999</v>
      </c>
      <c r="R286" s="10"/>
      <c r="S286">
        <f>ROUND(ТабCЕС[[#This Row],[Зелений Тариф ЕЦ]]+ТабCЕС[[#This Row],[Зелений Тариф ЕЦ]]*ТабCЕС[[#This Row],[% надбавки]],4)</f>
        <v>0.15029999999999999</v>
      </c>
      <c r="T286" s="8"/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2:52">
      <c r="C287" t="s">
        <v>58</v>
      </c>
      <c r="D287" t="s">
        <v>384</v>
      </c>
      <c r="F287" s="1" t="s">
        <v>1128</v>
      </c>
      <c r="G287" s="1" t="s">
        <v>1133</v>
      </c>
      <c r="H287" t="s">
        <v>107</v>
      </c>
      <c r="K287" t="s">
        <v>1134</v>
      </c>
      <c r="L287" s="7">
        <v>3.4359999999999999</v>
      </c>
      <c r="M287" s="8">
        <v>43312</v>
      </c>
      <c r="N287">
        <v>7</v>
      </c>
      <c r="O287" t="s">
        <v>60</v>
      </c>
      <c r="P287">
        <v>2018</v>
      </c>
      <c r="Q287">
        <v>0.15029999999999999</v>
      </c>
      <c r="R287" s="10"/>
      <c r="S287">
        <f>ROUND(ТабCЕС[[#This Row],[Зелений Тариф ЕЦ]]+ТабCЕС[[#This Row],[Зелений Тариф ЕЦ]]*ТабCЕС[[#This Row],[% надбавки]],4)</f>
        <v>0.15029999999999999</v>
      </c>
      <c r="T287" s="8"/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2:52">
      <c r="C288" t="s">
        <v>58</v>
      </c>
      <c r="D288" t="s">
        <v>384</v>
      </c>
      <c r="F288" s="1" t="s">
        <v>1128</v>
      </c>
      <c r="G288" s="1" t="s">
        <v>1135</v>
      </c>
      <c r="H288" t="s">
        <v>107</v>
      </c>
      <c r="K288" t="s">
        <v>1136</v>
      </c>
      <c r="L288" s="7">
        <v>3.4169999999999998</v>
      </c>
      <c r="M288" s="8">
        <v>43508</v>
      </c>
      <c r="N288">
        <v>2</v>
      </c>
      <c r="O288" t="s">
        <v>67</v>
      </c>
      <c r="P288">
        <v>2019</v>
      </c>
      <c r="Q288">
        <v>0.15029999999999999</v>
      </c>
      <c r="R288" s="10"/>
      <c r="S288">
        <f>ROUND(ТабCЕС[[#This Row],[Зелений Тариф ЕЦ]]+ТабCЕС[[#This Row],[Зелений Тариф ЕЦ]]*ТабCЕС[[#This Row],[% надбавки]],4)</f>
        <v>0.15029999999999999</v>
      </c>
      <c r="T288" s="8"/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2:52">
      <c r="C289" t="s">
        <v>58</v>
      </c>
      <c r="D289" t="s">
        <v>384</v>
      </c>
      <c r="F289" s="1" t="s">
        <v>1128</v>
      </c>
      <c r="G289" s="1" t="s">
        <v>1137</v>
      </c>
      <c r="H289" t="s">
        <v>107</v>
      </c>
      <c r="K289" t="s">
        <v>1138</v>
      </c>
      <c r="L289" s="7">
        <v>4.5810000000000004</v>
      </c>
      <c r="M289" s="8">
        <v>43676</v>
      </c>
      <c r="N289">
        <v>7</v>
      </c>
      <c r="O289" t="s">
        <v>60</v>
      </c>
      <c r="P289">
        <v>2019</v>
      </c>
      <c r="Q289">
        <v>0.15029999999999999</v>
      </c>
      <c r="R289" s="10"/>
      <c r="S289">
        <f>ROUND(ТабCЕС[[#This Row],[Зелений Тариф ЕЦ]]+ТабCЕС[[#This Row],[Зелений Тариф ЕЦ]]*ТабCЕС[[#This Row],[% надбавки]],4)</f>
        <v>0.15029999999999999</v>
      </c>
      <c r="T289" s="8"/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2:52">
      <c r="C290" t="s">
        <v>58</v>
      </c>
      <c r="D290" t="s">
        <v>384</v>
      </c>
      <c r="F290" s="1" t="s">
        <v>1139</v>
      </c>
      <c r="G290" s="1" t="s">
        <v>384</v>
      </c>
      <c r="H290" t="s">
        <v>172</v>
      </c>
      <c r="K290" t="s">
        <v>1140</v>
      </c>
      <c r="L290" s="7">
        <v>11.864000000000001</v>
      </c>
      <c r="M290" s="8">
        <v>43448</v>
      </c>
      <c r="N290">
        <v>12</v>
      </c>
      <c r="O290" t="s">
        <v>71</v>
      </c>
      <c r="P290">
        <v>2018</v>
      </c>
      <c r="Q290">
        <v>0.15029999999999999</v>
      </c>
      <c r="R290" s="10">
        <v>0.05</v>
      </c>
      <c r="S290">
        <f>ROUND(ТабCЕС[[#This Row],[Зелений Тариф ЕЦ]]+ТабCЕС[[#This Row],[Зелений Тариф ЕЦ]]*ТабCЕС[[#This Row],[% надбавки]],4)</f>
        <v>0.1578</v>
      </c>
      <c r="T290" s="8">
        <v>43455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0.23300000000000001</v>
      </c>
      <c r="AT290">
        <v>0.61499999999999999</v>
      </c>
      <c r="AU290">
        <v>1.165</v>
      </c>
      <c r="AV290">
        <v>1.6539999999999999</v>
      </c>
      <c r="AW290">
        <v>1.462</v>
      </c>
      <c r="AX290">
        <v>2.032</v>
      </c>
      <c r="AY290">
        <v>1.9470000000000001</v>
      </c>
      <c r="AZ290">
        <v>1.8879999999999999</v>
      </c>
    </row>
    <row r="291" spans="2:52">
      <c r="C291" t="s">
        <v>58</v>
      </c>
      <c r="D291" t="s">
        <v>384</v>
      </c>
      <c r="F291" s="1" t="s">
        <v>1141</v>
      </c>
      <c r="G291" s="1" t="s">
        <v>384</v>
      </c>
      <c r="H291" t="s">
        <v>65</v>
      </c>
      <c r="K291" t="s">
        <v>1142</v>
      </c>
      <c r="L291" s="7">
        <v>5.7629999999999999</v>
      </c>
      <c r="M291" s="8">
        <v>43522</v>
      </c>
      <c r="N291">
        <v>2</v>
      </c>
      <c r="O291" t="s">
        <v>67</v>
      </c>
      <c r="P291">
        <v>2019</v>
      </c>
      <c r="Q291">
        <v>0.15029999999999999</v>
      </c>
      <c r="R291" s="10"/>
      <c r="S291">
        <f>ROUND(ТабCЕС[[#This Row],[Зелений Тариф ЕЦ]]+ТабCЕС[[#This Row],[Зелений Тариф ЕЦ]]*ТабCЕС[[#This Row],[% надбавки]],4)</f>
        <v>0.15029999999999999</v>
      </c>
      <c r="T291" s="8"/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0.52600000000000002</v>
      </c>
      <c r="AV291">
        <v>0.7</v>
      </c>
      <c r="AW291">
        <v>0.61099999999999999</v>
      </c>
      <c r="AX291">
        <v>0.88800000000000001</v>
      </c>
      <c r="AY291">
        <v>0.89600000000000002</v>
      </c>
      <c r="AZ291">
        <v>0.874</v>
      </c>
    </row>
    <row r="292" spans="2:52">
      <c r="C292" t="s">
        <v>58</v>
      </c>
      <c r="D292" t="s">
        <v>384</v>
      </c>
      <c r="F292" s="1" t="s">
        <v>1143</v>
      </c>
      <c r="G292" s="1" t="s">
        <v>384</v>
      </c>
      <c r="H292" t="s">
        <v>122</v>
      </c>
      <c r="K292" t="s">
        <v>1144</v>
      </c>
      <c r="L292" s="7">
        <v>2.16</v>
      </c>
      <c r="M292" s="8">
        <v>42941</v>
      </c>
      <c r="N292">
        <v>7</v>
      </c>
      <c r="O292" t="s">
        <v>60</v>
      </c>
      <c r="P292">
        <v>2017</v>
      </c>
      <c r="Q292">
        <v>0.15029999999999999</v>
      </c>
      <c r="R292" s="10"/>
      <c r="S292">
        <f>ROUND(ТабCЕС[[#This Row],[Зелений Тариф ЕЦ]]+ТабCЕС[[#This Row],[Зелений Тариф ЕЦ]]*ТабCЕС[[#This Row],[% надбавки]],4)</f>
        <v>0.15029999999999999</v>
      </c>
      <c r="T292" s="8"/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0.29599999999999999</v>
      </c>
      <c r="AC292">
        <v>0.3</v>
      </c>
      <c r="AD292">
        <v>0.122</v>
      </c>
      <c r="AE292">
        <v>5.600000000000005E-2</v>
      </c>
      <c r="AF292">
        <v>3.0000000000000027E-2</v>
      </c>
      <c r="AG292">
        <v>3.5000000000000003E-2</v>
      </c>
      <c r="AH292">
        <v>9.7000000000000003E-2</v>
      </c>
      <c r="AI292">
        <v>0.19</v>
      </c>
      <c r="AJ292">
        <v>0.32800000000000001</v>
      </c>
      <c r="AK292">
        <v>0.36699999999999999</v>
      </c>
      <c r="AL292">
        <v>0.35499999999999998</v>
      </c>
      <c r="AM292">
        <v>0.31900000000000001</v>
      </c>
      <c r="AN292">
        <v>0.35699999999999998</v>
      </c>
      <c r="AO292">
        <v>0.24</v>
      </c>
      <c r="AP292">
        <v>0.22700000000000001</v>
      </c>
      <c r="AQ292">
        <v>9.5000000000000001E-2</v>
      </c>
      <c r="AR292">
        <v>3.3000000000000002E-2</v>
      </c>
      <c r="AS292">
        <v>1.7000000000000001E-2</v>
      </c>
      <c r="AT292">
        <v>9.9000000000000005E-2</v>
      </c>
      <c r="AU292">
        <v>0.222</v>
      </c>
      <c r="AV292">
        <v>0.308</v>
      </c>
      <c r="AW292">
        <v>0.32</v>
      </c>
      <c r="AX292">
        <v>0.35499999999999998</v>
      </c>
      <c r="AY292">
        <v>0.35799999999999998</v>
      </c>
      <c r="AZ292">
        <v>0.32600000000000001</v>
      </c>
    </row>
    <row r="293" spans="2:52">
      <c r="C293" t="s">
        <v>58</v>
      </c>
      <c r="D293" t="s">
        <v>384</v>
      </c>
      <c r="F293" s="1" t="s">
        <v>1143</v>
      </c>
      <c r="G293" s="1" t="s">
        <v>1145</v>
      </c>
      <c r="H293" t="s">
        <v>122</v>
      </c>
      <c r="K293" t="s">
        <v>1146</v>
      </c>
      <c r="L293" s="7">
        <v>4.7160000000000002</v>
      </c>
      <c r="M293" s="8">
        <v>43700</v>
      </c>
      <c r="N293">
        <v>8</v>
      </c>
      <c r="O293" t="s">
        <v>60</v>
      </c>
      <c r="P293">
        <v>2019</v>
      </c>
      <c r="Q293">
        <v>0.15029999999999999</v>
      </c>
      <c r="R293" s="10"/>
      <c r="S293">
        <f>ROUND(ТабCЕС[[#This Row],[Зелений Тариф ЕЦ]]+ТабCЕС[[#This Row],[Зелений Тариф ЕЦ]]*ТабCЕС[[#This Row],[% надбавки]],4)</f>
        <v>0.15029999999999999</v>
      </c>
      <c r="T293" s="8"/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0.04</v>
      </c>
      <c r="AT293">
        <v>0.108</v>
      </c>
      <c r="AU293">
        <v>0.224</v>
      </c>
      <c r="AV293">
        <v>0.32500000000000001</v>
      </c>
      <c r="AW293">
        <v>0.35799999999999998</v>
      </c>
      <c r="AX293">
        <v>0.40100000000000002</v>
      </c>
      <c r="AY293">
        <v>0.378</v>
      </c>
      <c r="AZ293">
        <v>0.35699999999999998</v>
      </c>
    </row>
    <row r="294" spans="2:52" ht="25.5">
      <c r="C294" t="s">
        <v>58</v>
      </c>
      <c r="D294" t="s">
        <v>384</v>
      </c>
      <c r="F294" s="1" t="s">
        <v>1147</v>
      </c>
      <c r="G294" s="1" t="s">
        <v>1148</v>
      </c>
      <c r="H294" t="s">
        <v>98</v>
      </c>
      <c r="K294" t="s">
        <v>1149</v>
      </c>
      <c r="L294" s="7">
        <v>5.94</v>
      </c>
      <c r="M294" s="8">
        <v>43396</v>
      </c>
      <c r="N294">
        <v>10</v>
      </c>
      <c r="O294" t="s">
        <v>71</v>
      </c>
      <c r="P294">
        <v>2018</v>
      </c>
      <c r="Q294">
        <v>0.15029999999999999</v>
      </c>
      <c r="R294" s="10"/>
      <c r="S294">
        <f>ROUND(ТабCЕС[[#This Row],[Зелений Тариф ЕЦ]]+ТабCЕС[[#This Row],[Зелений Тариф ЕЦ]]*ТабCЕС[[#This Row],[% надбавки]],4)</f>
        <v>0.15029999999999999</v>
      </c>
      <c r="T294" s="8"/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0.23799999999999999</v>
      </c>
      <c r="AR294">
        <v>0.13900000000000001</v>
      </c>
      <c r="AS294">
        <v>0.184</v>
      </c>
      <c r="AT294">
        <v>0.76700000000000002</v>
      </c>
      <c r="AU294">
        <v>1.0680000000000001</v>
      </c>
      <c r="AV294">
        <v>1.538</v>
      </c>
      <c r="AW294">
        <v>1.353</v>
      </c>
      <c r="AX294">
        <v>1.929</v>
      </c>
      <c r="AY294">
        <v>1.732</v>
      </c>
      <c r="AZ294">
        <v>1.764</v>
      </c>
    </row>
    <row r="295" spans="2:52" ht="25.5">
      <c r="C295" t="s">
        <v>58</v>
      </c>
      <c r="D295" t="s">
        <v>384</v>
      </c>
      <c r="F295" s="1" t="s">
        <v>1147</v>
      </c>
      <c r="G295" s="1" t="s">
        <v>1150</v>
      </c>
      <c r="H295" t="s">
        <v>98</v>
      </c>
      <c r="K295" t="s">
        <v>1151</v>
      </c>
      <c r="L295" s="7">
        <v>5.7969999999999997</v>
      </c>
      <c r="M295" s="8">
        <v>43417</v>
      </c>
      <c r="N295">
        <v>11</v>
      </c>
      <c r="O295" t="s">
        <v>71</v>
      </c>
      <c r="P295">
        <v>2018</v>
      </c>
      <c r="Q295">
        <v>0.15029999999999999</v>
      </c>
      <c r="R295" s="10"/>
      <c r="S295">
        <f>ROUND(ТабCЕС[[#This Row],[Зелений Тариф ЕЦ]]+ТабCЕС[[#This Row],[Зелений Тариф ЕЦ]]*ТабCЕС[[#This Row],[% надбавки]],4)</f>
        <v>0.15029999999999999</v>
      </c>
      <c r="T295" s="8"/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</row>
    <row r="296" spans="2:52">
      <c r="B296" t="s">
        <v>1152</v>
      </c>
      <c r="C296">
        <v>40297214</v>
      </c>
      <c r="D296" t="s">
        <v>384</v>
      </c>
      <c r="F296" s="1" t="s">
        <v>1153</v>
      </c>
      <c r="G296" s="1" t="s">
        <v>408</v>
      </c>
      <c r="H296" t="s">
        <v>82</v>
      </c>
      <c r="K296" t="s">
        <v>1154</v>
      </c>
      <c r="L296" s="7">
        <v>3.5030000000000001</v>
      </c>
      <c r="M296" s="8">
        <v>42803</v>
      </c>
      <c r="N296">
        <v>3</v>
      </c>
      <c r="O296" t="s">
        <v>67</v>
      </c>
      <c r="P296">
        <v>2017</v>
      </c>
      <c r="Q296">
        <v>0.15989999999999999</v>
      </c>
      <c r="R296" s="10"/>
      <c r="S296">
        <f>ROUND(ТабCЕС[[#This Row],[Зелений Тариф ЕЦ]]+ТабCЕС[[#This Row],[Зелений Тариф ЕЦ]]*ТабCЕС[[#This Row],[% надбавки]],4)</f>
        <v>0.15989999999999999</v>
      </c>
      <c r="T296" s="8"/>
      <c r="U296">
        <v>0</v>
      </c>
      <c r="V296">
        <v>0</v>
      </c>
      <c r="W296">
        <v>0</v>
      </c>
      <c r="X296">
        <v>0</v>
      </c>
      <c r="Y296">
        <v>0.56899999999999995</v>
      </c>
      <c r="Z296">
        <v>0.43599999999999994</v>
      </c>
      <c r="AA296">
        <v>0.84000000000000008</v>
      </c>
      <c r="AB296">
        <v>0.47300000000000009</v>
      </c>
      <c r="AC296">
        <v>7.8999999999999737E-2</v>
      </c>
      <c r="AD296">
        <v>0.2330000000000001</v>
      </c>
      <c r="AE296">
        <v>0.1120000000000001</v>
      </c>
      <c r="AF296">
        <v>0.11900000000000022</v>
      </c>
      <c r="AG296">
        <v>0.16700000000000001</v>
      </c>
      <c r="AH296">
        <v>0.17899999999999999</v>
      </c>
      <c r="AI296">
        <v>0.313</v>
      </c>
      <c r="AJ296">
        <v>0.56100000000000005</v>
      </c>
      <c r="AK296">
        <v>0.57799999999999996</v>
      </c>
      <c r="AL296">
        <v>0.56599999999999995</v>
      </c>
      <c r="AM296">
        <v>0.53300000000000003</v>
      </c>
      <c r="AN296">
        <v>0.61599999999999999</v>
      </c>
      <c r="AO296">
        <v>0.39700000000000002</v>
      </c>
      <c r="AP296">
        <v>0.44900000000000001</v>
      </c>
      <c r="AQ296">
        <v>0.153</v>
      </c>
      <c r="AR296">
        <v>2.9000000000000001E-2</v>
      </c>
      <c r="AS296">
        <v>0.13900000000000001</v>
      </c>
      <c r="AT296">
        <v>0.186</v>
      </c>
      <c r="AU296">
        <v>0.44</v>
      </c>
      <c r="AV296">
        <v>0.52400000000000002</v>
      </c>
      <c r="AW296">
        <v>0.48899999999999999</v>
      </c>
      <c r="AX296">
        <v>0.55200000000000005</v>
      </c>
      <c r="AY296">
        <v>0.56999999999999995</v>
      </c>
      <c r="AZ296">
        <v>0.48</v>
      </c>
    </row>
    <row r="297" spans="2:52">
      <c r="C297" t="s">
        <v>58</v>
      </c>
      <c r="D297" t="s">
        <v>384</v>
      </c>
      <c r="F297" s="1" t="s">
        <v>1153</v>
      </c>
      <c r="G297" s="1" t="s">
        <v>410</v>
      </c>
      <c r="H297" t="s">
        <v>82</v>
      </c>
      <c r="K297" t="s">
        <v>1155</v>
      </c>
      <c r="L297" s="7">
        <v>1.458</v>
      </c>
      <c r="M297" s="8">
        <v>42905</v>
      </c>
      <c r="N297">
        <v>6</v>
      </c>
      <c r="O297" t="s">
        <v>57</v>
      </c>
      <c r="P297">
        <v>2017</v>
      </c>
      <c r="Q297">
        <v>0.15029999999999999</v>
      </c>
      <c r="R297" s="10"/>
      <c r="S297">
        <f>ROUND(ТабCЕС[[#This Row],[Зелений Тариф ЕЦ]]+ТабCЕС[[#This Row],[Зелений Тариф ЕЦ]]*ТабCЕС[[#This Row],[% надбавки]],4)</f>
        <v>0.15029999999999999</v>
      </c>
      <c r="T297" s="8"/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0.504</v>
      </c>
      <c r="AD297">
        <v>9.8999999999999977E-2</v>
      </c>
      <c r="AE297">
        <v>4.8000000000000043E-2</v>
      </c>
      <c r="AF297">
        <v>5.0999999999999934E-2</v>
      </c>
      <c r="AG297">
        <v>7.2999999999999995E-2</v>
      </c>
      <c r="AH297">
        <v>7.8E-2</v>
      </c>
      <c r="AI297">
        <v>0.13300000000000001</v>
      </c>
      <c r="AJ297">
        <v>0.54400000000000004</v>
      </c>
      <c r="AK297">
        <v>0.56100000000000005</v>
      </c>
      <c r="AL297">
        <v>0.55800000000000005</v>
      </c>
      <c r="AM297">
        <v>0.51900000000000002</v>
      </c>
      <c r="AN297">
        <v>0.60599999999999998</v>
      </c>
      <c r="AO297">
        <v>0.38800000000000001</v>
      </c>
      <c r="AP297">
        <v>0.41399999999999998</v>
      </c>
      <c r="AQ297">
        <v>0.16600000000000001</v>
      </c>
      <c r="AR297">
        <v>4.9000000000000002E-2</v>
      </c>
      <c r="AS297">
        <v>0.13900000000000001</v>
      </c>
      <c r="AT297">
        <v>0.186</v>
      </c>
      <c r="AU297">
        <v>1.115</v>
      </c>
      <c r="AV297">
        <v>1.514</v>
      </c>
      <c r="AW297">
        <v>1.4770000000000001</v>
      </c>
      <c r="AX297">
        <v>1.633</v>
      </c>
      <c r="AY297">
        <v>1.681</v>
      </c>
      <c r="AZ297">
        <v>1.679</v>
      </c>
    </row>
    <row r="298" spans="2:52">
      <c r="C298" t="s">
        <v>58</v>
      </c>
      <c r="D298" t="s">
        <v>384</v>
      </c>
      <c r="F298" s="1" t="s">
        <v>1153</v>
      </c>
      <c r="G298" s="1" t="s">
        <v>384</v>
      </c>
      <c r="H298" t="s">
        <v>82</v>
      </c>
      <c r="K298" t="s">
        <v>1156</v>
      </c>
      <c r="L298" s="7">
        <v>2.0059999999999998</v>
      </c>
      <c r="M298" s="8">
        <v>43158</v>
      </c>
      <c r="N298">
        <v>2</v>
      </c>
      <c r="O298" t="s">
        <v>67</v>
      </c>
      <c r="P298">
        <v>2018</v>
      </c>
      <c r="Q298">
        <v>0.15029999999999999</v>
      </c>
      <c r="R298" s="10"/>
      <c r="S298">
        <f>ROUND(ТабCЕС[[#This Row],[Зелений Тариф ЕЦ]]+ТабCЕС[[#This Row],[Зелений Тариф ЕЦ]]*ТабCЕС[[#This Row],[% надбавки]],4)</f>
        <v>0.15029999999999999</v>
      </c>
      <c r="T298" s="8"/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</row>
    <row r="299" spans="2:52">
      <c r="C299" t="s">
        <v>58</v>
      </c>
      <c r="D299" t="s">
        <v>384</v>
      </c>
      <c r="F299" s="1" t="s">
        <v>1153</v>
      </c>
      <c r="G299" s="1" t="s">
        <v>384</v>
      </c>
      <c r="H299" t="s">
        <v>82</v>
      </c>
      <c r="K299" t="s">
        <v>1157</v>
      </c>
      <c r="L299" s="7">
        <v>7.085</v>
      </c>
      <c r="M299" s="8">
        <v>43403</v>
      </c>
      <c r="N299">
        <v>10</v>
      </c>
      <c r="O299" t="s">
        <v>71</v>
      </c>
      <c r="P299">
        <v>2018</v>
      </c>
      <c r="Q299">
        <v>0.15029999999999999</v>
      </c>
      <c r="R299" s="10"/>
      <c r="S299">
        <f>ROUND(ТабCЕС[[#This Row],[Зелений Тариф ЕЦ]]+ТабCЕС[[#This Row],[Зелений Тариф ЕЦ]]*ТабCЕС[[#This Row],[% надбавки]],4)</f>
        <v>0.15029999999999999</v>
      </c>
      <c r="T299" s="8"/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</row>
    <row r="300" spans="2:52">
      <c r="C300" t="s">
        <v>58</v>
      </c>
      <c r="D300" t="s">
        <v>384</v>
      </c>
      <c r="F300" s="1" t="s">
        <v>1158</v>
      </c>
      <c r="G300" s="1" t="s">
        <v>1159</v>
      </c>
      <c r="H300" t="s">
        <v>73</v>
      </c>
      <c r="K300" t="s">
        <v>1160</v>
      </c>
      <c r="L300" s="7">
        <v>0.96899999999999997</v>
      </c>
      <c r="M300" s="8">
        <v>43382</v>
      </c>
      <c r="N300">
        <v>10</v>
      </c>
      <c r="O300" t="s">
        <v>71</v>
      </c>
      <c r="P300">
        <v>2018</v>
      </c>
      <c r="Q300">
        <v>0.15029999999999999</v>
      </c>
      <c r="R300" s="10"/>
      <c r="S300">
        <f>ROUND(ТабCЕС[[#This Row],[Зелений Тариф ЕЦ]]+ТабCЕС[[#This Row],[Зелений Тариф ЕЦ]]*ТабCЕС[[#This Row],[% надбавки]],4)</f>
        <v>0.15029999999999999</v>
      </c>
      <c r="T300" s="8"/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0.311</v>
      </c>
      <c r="AY300">
        <v>0.35099999999999998</v>
      </c>
      <c r="AZ300">
        <v>0.35299999999999998</v>
      </c>
    </row>
    <row r="301" spans="2:52">
      <c r="C301" t="s">
        <v>58</v>
      </c>
      <c r="D301" t="s">
        <v>384</v>
      </c>
      <c r="F301" s="1" t="s">
        <v>1158</v>
      </c>
      <c r="G301" s="1" t="s">
        <v>1161</v>
      </c>
      <c r="H301" t="s">
        <v>73</v>
      </c>
      <c r="K301" t="s">
        <v>1162</v>
      </c>
      <c r="L301" s="7">
        <v>1.113</v>
      </c>
      <c r="M301" s="8">
        <v>43476</v>
      </c>
      <c r="N301">
        <v>1</v>
      </c>
      <c r="O301" t="s">
        <v>67</v>
      </c>
      <c r="P301">
        <v>2019</v>
      </c>
      <c r="Q301">
        <v>0.15029999999999999</v>
      </c>
      <c r="R301" s="10"/>
      <c r="S301">
        <f>ROUND(ТабCЕС[[#This Row],[Зелений Тариф ЕЦ]]+ТабCЕС[[#This Row],[Зелений Тариф ЕЦ]]*ТабCЕС[[#This Row],[% надбавки]],4)</f>
        <v>0.15029999999999999</v>
      </c>
      <c r="T301" s="8"/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</row>
    <row r="302" spans="2:52">
      <c r="C302" t="s">
        <v>58</v>
      </c>
      <c r="D302" t="s">
        <v>384</v>
      </c>
      <c r="F302" s="1" t="s">
        <v>1163</v>
      </c>
      <c r="G302" s="1" t="s">
        <v>384</v>
      </c>
      <c r="H302" t="s">
        <v>65</v>
      </c>
      <c r="K302" t="s">
        <v>1164</v>
      </c>
      <c r="L302" s="7">
        <v>8.4109999999999996</v>
      </c>
      <c r="M302" s="8">
        <v>43524</v>
      </c>
      <c r="N302">
        <v>2</v>
      </c>
      <c r="O302" t="s">
        <v>67</v>
      </c>
      <c r="P302">
        <v>2019</v>
      </c>
      <c r="Q302">
        <v>0.15029999999999999</v>
      </c>
      <c r="R302" s="10"/>
      <c r="S302">
        <f>ROUND(ТабCЕС[[#This Row],[Зелений Тариф ЕЦ]]+ТабCЕС[[#This Row],[Зелений Тариф ЕЦ]]*ТабCЕС[[#This Row],[% надбавки]],4)</f>
        <v>0.15029999999999999</v>
      </c>
      <c r="T302" s="8"/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0.88700000000000001</v>
      </c>
      <c r="AV302">
        <v>1.0509999999999999</v>
      </c>
      <c r="AW302">
        <v>1.0109999999999999</v>
      </c>
      <c r="AX302">
        <v>1.3</v>
      </c>
      <c r="AY302">
        <v>1.29</v>
      </c>
      <c r="AZ302">
        <v>1.306</v>
      </c>
    </row>
    <row r="303" spans="2:52">
      <c r="B303" t="s">
        <v>1165</v>
      </c>
      <c r="C303">
        <v>40973044</v>
      </c>
      <c r="D303" t="s">
        <v>384</v>
      </c>
      <c r="F303" s="1" t="s">
        <v>1166</v>
      </c>
      <c r="G303" s="1" t="s">
        <v>992</v>
      </c>
      <c r="H303" t="s">
        <v>69</v>
      </c>
      <c r="I303" t="s">
        <v>1167</v>
      </c>
      <c r="K303" t="s">
        <v>1168</v>
      </c>
      <c r="L303" s="7">
        <v>1.518</v>
      </c>
      <c r="M303" s="8">
        <v>42719</v>
      </c>
      <c r="N303">
        <v>12</v>
      </c>
      <c r="O303" t="s">
        <v>71</v>
      </c>
      <c r="P303">
        <v>2016</v>
      </c>
      <c r="Q303">
        <v>0.46529999999999999</v>
      </c>
      <c r="R303" s="10"/>
      <c r="S303">
        <f>ROUND(ТабCЕС[[#This Row],[Зелений Тариф ЕЦ]]+ТабCЕС[[#This Row],[Зелений Тариф ЕЦ]]*ТабCЕС[[#This Row],[% надбавки]],4)</f>
        <v>0.46529999999999999</v>
      </c>
      <c r="T303" s="8"/>
      <c r="U303">
        <v>0</v>
      </c>
      <c r="V303">
        <v>0.115</v>
      </c>
      <c r="W303">
        <v>0.42600000000000005</v>
      </c>
      <c r="X303">
        <v>0.49199999999999988</v>
      </c>
      <c r="Y303">
        <v>0.63500000000000001</v>
      </c>
      <c r="Z303">
        <v>0.63700000000000023</v>
      </c>
      <c r="AA303">
        <v>0.63499999999999979</v>
      </c>
      <c r="AB303">
        <v>0.64000000000000012</v>
      </c>
      <c r="AC303">
        <v>0.54699999999999971</v>
      </c>
      <c r="AD303">
        <v>0.24000000000000021</v>
      </c>
      <c r="AE303">
        <v>0.14599999999999991</v>
      </c>
      <c r="AF303">
        <v>8.4000000000000519E-2</v>
      </c>
      <c r="AG303">
        <v>0.16400000000000001</v>
      </c>
      <c r="AH303">
        <v>0.19</v>
      </c>
      <c r="AI303">
        <v>0.30299999999999999</v>
      </c>
      <c r="AJ303">
        <v>0.59799999999999998</v>
      </c>
      <c r="AK303">
        <v>0.66500000000000004</v>
      </c>
      <c r="AL303">
        <v>0.68300000000000005</v>
      </c>
      <c r="AM303">
        <v>0.59599999999999997</v>
      </c>
      <c r="AN303">
        <v>0.69599999999999995</v>
      </c>
      <c r="AO303">
        <v>0.437</v>
      </c>
      <c r="AP303">
        <v>0.45400000000000001</v>
      </c>
      <c r="AQ303">
        <v>0.20200000000000001</v>
      </c>
      <c r="AR303">
        <v>5.5E-2</v>
      </c>
      <c r="AS303">
        <v>0.13400000000000001</v>
      </c>
      <c r="AT303">
        <v>0.22900000000000001</v>
      </c>
      <c r="AU303">
        <v>0.41299999999999998</v>
      </c>
      <c r="AV303">
        <v>0.56399999999999995</v>
      </c>
      <c r="AW303">
        <v>0.61199999999999999</v>
      </c>
      <c r="AX303">
        <v>0.65600000000000003</v>
      </c>
      <c r="AY303">
        <v>0.64400000000000002</v>
      </c>
      <c r="AZ303">
        <v>0.64600000000000002</v>
      </c>
    </row>
    <row r="304" spans="2:52">
      <c r="B304" t="s">
        <v>1165</v>
      </c>
      <c r="C304">
        <v>40973044</v>
      </c>
      <c r="D304" t="s">
        <v>384</v>
      </c>
      <c r="F304" s="1" t="s">
        <v>1166</v>
      </c>
      <c r="G304" s="1" t="s">
        <v>994</v>
      </c>
      <c r="H304" t="s">
        <v>69</v>
      </c>
      <c r="I304" t="s">
        <v>1167</v>
      </c>
      <c r="K304" t="s">
        <v>1168</v>
      </c>
      <c r="L304" s="7">
        <v>2.5</v>
      </c>
      <c r="M304" s="8">
        <v>42719</v>
      </c>
      <c r="N304">
        <v>12</v>
      </c>
      <c r="O304" t="s">
        <v>71</v>
      </c>
      <c r="P304">
        <v>2016</v>
      </c>
      <c r="Q304">
        <v>0.46529999999999999</v>
      </c>
      <c r="R304" s="10"/>
      <c r="S304">
        <f>ROUND(ТабCЕС[[#This Row],[Зелений Тариф ЕЦ]]+ТабCЕС[[#This Row],[Зелений Тариф ЕЦ]]*ТабCЕС[[#This Row],[% надбавки]],4)</f>
        <v>0.46529999999999999</v>
      </c>
      <c r="T304" s="8"/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</row>
    <row r="305" spans="2:52">
      <c r="C305" t="s">
        <v>58</v>
      </c>
      <c r="D305" t="s">
        <v>384</v>
      </c>
      <c r="F305" s="1" t="s">
        <v>1169</v>
      </c>
      <c r="G305" s="1" t="s">
        <v>1170</v>
      </c>
      <c r="H305" t="s">
        <v>172</v>
      </c>
      <c r="K305" t="s">
        <v>1171</v>
      </c>
      <c r="L305" s="7">
        <v>2.1269999999999998</v>
      </c>
      <c r="M305" s="8">
        <v>43277</v>
      </c>
      <c r="N305">
        <v>6</v>
      </c>
      <c r="O305" t="s">
        <v>57</v>
      </c>
      <c r="P305">
        <v>2018</v>
      </c>
      <c r="Q305">
        <v>0.15029999999999999</v>
      </c>
      <c r="R305" s="10"/>
      <c r="S305">
        <f>ROUND(ТабCЕС[[#This Row],[Зелений Тариф ЕЦ]]+ТабCЕС[[#This Row],[Зелений Тариф ЕЦ]]*ТабCЕС[[#This Row],[% надбавки]],4)</f>
        <v>0.15029999999999999</v>
      </c>
      <c r="T305" s="8"/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0.19600000000000001</v>
      </c>
      <c r="AN305">
        <v>0.33200000000000002</v>
      </c>
      <c r="AO305">
        <v>0.23699999999999999</v>
      </c>
      <c r="AP305">
        <v>0.21199999999999999</v>
      </c>
      <c r="AQ305">
        <v>7.0000000000000007E-2</v>
      </c>
      <c r="AR305">
        <v>4.1000000000000002E-2</v>
      </c>
      <c r="AS305">
        <v>5.8000000000000003E-2</v>
      </c>
      <c r="AT305">
        <v>0.183</v>
      </c>
      <c r="AU305">
        <v>0.495</v>
      </c>
      <c r="AV305">
        <v>0.65400000000000003</v>
      </c>
      <c r="AW305">
        <v>0.59</v>
      </c>
      <c r="AX305">
        <v>0.375</v>
      </c>
      <c r="AY305">
        <v>1.3260000000000001</v>
      </c>
      <c r="AZ305">
        <v>1.454</v>
      </c>
    </row>
    <row r="306" spans="2:52">
      <c r="C306" t="s">
        <v>58</v>
      </c>
      <c r="D306" t="s">
        <v>384</v>
      </c>
      <c r="F306" s="1" t="s">
        <v>1169</v>
      </c>
      <c r="G306" s="1" t="s">
        <v>1172</v>
      </c>
      <c r="H306" t="s">
        <v>172</v>
      </c>
      <c r="K306" t="s">
        <v>1173</v>
      </c>
      <c r="L306" s="7">
        <v>0.95</v>
      </c>
      <c r="M306" s="8">
        <v>43382</v>
      </c>
      <c r="N306">
        <v>10</v>
      </c>
      <c r="O306" t="s">
        <v>71</v>
      </c>
      <c r="P306">
        <v>2018</v>
      </c>
      <c r="Q306">
        <v>0.15029999999999999</v>
      </c>
      <c r="R306" s="10"/>
      <c r="S306">
        <f>ROUND(ТабCЕС[[#This Row],[Зелений Тариф ЕЦ]]+ТабCЕС[[#This Row],[Зелений Тариф ЕЦ]]*ТабCЕС[[#This Row],[% надбавки]],4)</f>
        <v>0.15029999999999999</v>
      </c>
      <c r="T306" s="8"/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3.3000000000000002E-2</v>
      </c>
      <c r="AR306">
        <v>0.02</v>
      </c>
      <c r="AS306">
        <v>2.5999999999999999E-2</v>
      </c>
      <c r="AT306">
        <v>0</v>
      </c>
      <c r="AU306">
        <v>0</v>
      </c>
      <c r="AV306">
        <v>0</v>
      </c>
      <c r="AW306">
        <v>0</v>
      </c>
      <c r="AX306">
        <v>0.16600000000000001</v>
      </c>
      <c r="AY306">
        <v>0</v>
      </c>
      <c r="AZ306">
        <v>0</v>
      </c>
    </row>
    <row r="307" spans="2:52">
      <c r="C307" t="s">
        <v>58</v>
      </c>
      <c r="D307" t="s">
        <v>384</v>
      </c>
      <c r="F307" s="1" t="s">
        <v>1169</v>
      </c>
      <c r="G307" s="1" t="s">
        <v>1174</v>
      </c>
      <c r="H307" t="s">
        <v>198</v>
      </c>
      <c r="K307" t="s">
        <v>1175</v>
      </c>
      <c r="L307" s="7">
        <v>1.7050000000000001</v>
      </c>
      <c r="M307" s="8">
        <v>43511</v>
      </c>
      <c r="N307">
        <v>2</v>
      </c>
      <c r="O307" t="s">
        <v>67</v>
      </c>
      <c r="P307">
        <v>2019</v>
      </c>
      <c r="Q307">
        <v>0.15029999999999999</v>
      </c>
      <c r="R307" s="10"/>
      <c r="S307">
        <f>ROUND(ТабCЕС[[#This Row],[Зелений Тариф ЕЦ]]+ТабCЕС[[#This Row],[Зелений Тариф ЕЦ]]*ТабCЕС[[#This Row],[% надбавки]],4)</f>
        <v>0.15029999999999999</v>
      </c>
      <c r="T307" s="8"/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0.30099999999999999</v>
      </c>
      <c r="AY307">
        <v>0</v>
      </c>
      <c r="AZ307">
        <v>0</v>
      </c>
    </row>
    <row r="308" spans="2:52">
      <c r="C308" t="s">
        <v>58</v>
      </c>
      <c r="D308" t="s">
        <v>384</v>
      </c>
      <c r="F308" s="1" t="s">
        <v>1169</v>
      </c>
      <c r="G308" s="1" t="s">
        <v>1176</v>
      </c>
      <c r="H308" t="s">
        <v>172</v>
      </c>
      <c r="K308" t="s">
        <v>1177</v>
      </c>
      <c r="L308" s="7">
        <v>2.3090000000000002</v>
      </c>
      <c r="M308" s="8">
        <v>43567</v>
      </c>
      <c r="N308">
        <v>4</v>
      </c>
      <c r="O308" t="s">
        <v>57</v>
      </c>
      <c r="P308">
        <v>2019</v>
      </c>
      <c r="Q308">
        <v>0.15029999999999999</v>
      </c>
      <c r="R308" s="10"/>
      <c r="S308">
        <f>ROUND(ТабCЕС[[#This Row],[Зелений Тариф ЕЦ]]+ТабCЕС[[#This Row],[Зелений Тариф ЕЦ]]*ТабCЕС[[#This Row],[% надбавки]],4)</f>
        <v>0.15029999999999999</v>
      </c>
      <c r="T308" s="8"/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4.8000000000000001E-2</v>
      </c>
      <c r="AW308">
        <v>0.108</v>
      </c>
      <c r="AX308">
        <v>0.35199999999999998</v>
      </c>
      <c r="AY308">
        <v>0</v>
      </c>
      <c r="AZ308">
        <v>0</v>
      </c>
    </row>
    <row r="309" spans="2:52">
      <c r="C309" t="s">
        <v>58</v>
      </c>
      <c r="D309" t="s">
        <v>384</v>
      </c>
      <c r="F309" s="1" t="s">
        <v>1169</v>
      </c>
      <c r="G309" s="1" t="s">
        <v>1178</v>
      </c>
      <c r="H309" t="s">
        <v>198</v>
      </c>
      <c r="K309" t="s">
        <v>1179</v>
      </c>
      <c r="L309" s="7">
        <v>2.319</v>
      </c>
      <c r="M309" s="8">
        <v>43641</v>
      </c>
      <c r="N309">
        <v>6</v>
      </c>
      <c r="O309" t="s">
        <v>57</v>
      </c>
      <c r="P309">
        <v>2019</v>
      </c>
      <c r="Q309">
        <v>0.15029999999999999</v>
      </c>
      <c r="R309" s="10"/>
      <c r="S309">
        <f>ROUND(ТабCЕС[[#This Row],[Зелений Тариф ЕЦ]]+ТабCЕС[[#This Row],[Зелений Тариф ЕЦ]]*ТабCЕС[[#This Row],[% надбавки]],4)</f>
        <v>0.15029999999999999</v>
      </c>
      <c r="T309" s="8"/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</row>
    <row r="310" spans="2:52">
      <c r="C310" t="s">
        <v>58</v>
      </c>
      <c r="D310" t="s">
        <v>384</v>
      </c>
      <c r="F310" s="1" t="s">
        <v>1180</v>
      </c>
      <c r="G310" s="1" t="s">
        <v>1181</v>
      </c>
      <c r="H310" t="s">
        <v>98</v>
      </c>
      <c r="K310" t="s">
        <v>1182</v>
      </c>
      <c r="L310" s="7">
        <v>0.32600000000000001</v>
      </c>
      <c r="M310" s="8">
        <v>42719</v>
      </c>
      <c r="N310">
        <v>12</v>
      </c>
      <c r="O310" t="s">
        <v>71</v>
      </c>
      <c r="P310">
        <v>2016</v>
      </c>
      <c r="Q310">
        <v>0.15989999999999999</v>
      </c>
      <c r="R310" s="10"/>
      <c r="S310">
        <f>ROUND(ТабCЕС[[#This Row],[Зелений Тариф ЕЦ]]+ТабCЕС[[#This Row],[Зелений Тариф ЕЦ]]*ТабCЕС[[#This Row],[% надбавки]],4)</f>
        <v>0.15989999999999999</v>
      </c>
      <c r="T310" s="8"/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2.9000000000000001E-2</v>
      </c>
      <c r="AD310">
        <v>2.3999999999999997E-2</v>
      </c>
      <c r="AE310">
        <v>1.3000000000000005E-2</v>
      </c>
      <c r="AF310">
        <v>4.9999999999999906E-3</v>
      </c>
      <c r="AG310">
        <v>1.0999999999999999E-2</v>
      </c>
      <c r="AH310">
        <v>7.0000000000000001E-3</v>
      </c>
      <c r="AI310">
        <v>2.5999999999999999E-2</v>
      </c>
      <c r="AJ310">
        <v>4.2999999999999997E-2</v>
      </c>
      <c r="AK310">
        <v>4.8000000000000001E-2</v>
      </c>
      <c r="AL310">
        <v>3.5999999999999997E-2</v>
      </c>
      <c r="AM310">
        <v>3.7999999999999999E-2</v>
      </c>
      <c r="AN310">
        <v>4.3999999999999997E-2</v>
      </c>
      <c r="AO310">
        <v>3.5000000000000003E-2</v>
      </c>
      <c r="AP310">
        <v>2.8000000000000001E-2</v>
      </c>
      <c r="AQ310">
        <v>0.01</v>
      </c>
      <c r="AR310">
        <v>4.0000000000000001E-3</v>
      </c>
      <c r="AS310">
        <v>5.0000000000000001E-3</v>
      </c>
      <c r="AT310">
        <v>1.7000000000000001E-2</v>
      </c>
      <c r="AU310">
        <v>2.9000000000000001E-2</v>
      </c>
      <c r="AV310">
        <v>3.3000000000000002E-2</v>
      </c>
      <c r="AW310">
        <v>2.5000000000000001E-2</v>
      </c>
      <c r="AX310">
        <v>4.3999999999999997E-2</v>
      </c>
      <c r="AY310">
        <v>4.4999999999999998E-2</v>
      </c>
      <c r="AZ310">
        <v>4.2999999999999997E-2</v>
      </c>
    </row>
    <row r="311" spans="2:52">
      <c r="C311" t="s">
        <v>58</v>
      </c>
      <c r="D311" t="s">
        <v>384</v>
      </c>
      <c r="F311" s="1" t="s">
        <v>1183</v>
      </c>
      <c r="G311" s="1" t="s">
        <v>1184</v>
      </c>
      <c r="H311" t="s">
        <v>62</v>
      </c>
      <c r="K311" t="s">
        <v>1185</v>
      </c>
      <c r="L311" s="7">
        <v>0.99</v>
      </c>
      <c r="M311" s="8">
        <v>43613</v>
      </c>
      <c r="N311">
        <v>5</v>
      </c>
      <c r="O311" t="s">
        <v>57</v>
      </c>
      <c r="P311">
        <v>2019</v>
      </c>
      <c r="Q311">
        <v>0.15029999999999999</v>
      </c>
      <c r="R311" s="10"/>
      <c r="S311">
        <f>ROUND(ТабCЕС[[#This Row],[Зелений Тариф ЕЦ]]+ТабCЕС[[#This Row],[Зелений Тариф ЕЦ]]*ТабCЕС[[#This Row],[% надбавки]],4)</f>
        <v>0.15029999999999999</v>
      </c>
      <c r="T311" s="8"/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7.4999999999999997E-2</v>
      </c>
      <c r="AZ311">
        <v>0.14899999999999999</v>
      </c>
    </row>
    <row r="312" spans="2:52">
      <c r="C312" t="s">
        <v>58</v>
      </c>
      <c r="D312" t="s">
        <v>384</v>
      </c>
      <c r="F312" s="1" t="s">
        <v>1186</v>
      </c>
      <c r="G312" s="1" t="s">
        <v>1187</v>
      </c>
      <c r="H312" t="s">
        <v>69</v>
      </c>
      <c r="K312" t="s">
        <v>1188</v>
      </c>
      <c r="L312" s="7">
        <v>12.999000000000001</v>
      </c>
      <c r="M312" s="8">
        <v>43455</v>
      </c>
      <c r="N312">
        <v>12</v>
      </c>
      <c r="O312" t="s">
        <v>71</v>
      </c>
      <c r="P312">
        <v>2018</v>
      </c>
      <c r="Q312">
        <v>0.15029999999999999</v>
      </c>
      <c r="R312" s="10">
        <v>0.05</v>
      </c>
      <c r="S312">
        <f>ROUND(ТабCЕС[[#This Row],[Зелений Тариф ЕЦ]]+ТабCЕС[[#This Row],[Зелений Тариф ЕЦ]]*ТабCЕС[[#This Row],[% надбавки]],4)</f>
        <v>0.1578</v>
      </c>
      <c r="T312" s="8">
        <v>43550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1.492</v>
      </c>
      <c r="AV312">
        <v>1.9419999999999999</v>
      </c>
      <c r="AW312">
        <v>2.0990000000000002</v>
      </c>
      <c r="AX312">
        <v>2.2160000000000002</v>
      </c>
      <c r="AY312">
        <v>1.073</v>
      </c>
      <c r="AZ312">
        <v>2.1019999999999999</v>
      </c>
    </row>
    <row r="313" spans="2:52">
      <c r="B313" t="s">
        <v>1189</v>
      </c>
      <c r="C313">
        <v>41773848</v>
      </c>
      <c r="D313" t="s">
        <v>384</v>
      </c>
      <c r="F313" s="1" t="s">
        <v>1190</v>
      </c>
      <c r="G313" s="1" t="s">
        <v>384</v>
      </c>
      <c r="H313" t="s">
        <v>69</v>
      </c>
      <c r="I313" t="s">
        <v>1191</v>
      </c>
      <c r="K313" t="s">
        <v>1192</v>
      </c>
      <c r="L313" s="7">
        <v>33.148000000000003</v>
      </c>
      <c r="M313" s="8">
        <v>43637</v>
      </c>
      <c r="N313">
        <v>6</v>
      </c>
      <c r="O313" t="s">
        <v>57</v>
      </c>
      <c r="P313">
        <v>2019</v>
      </c>
      <c r="Q313">
        <v>0.15029999999999999</v>
      </c>
      <c r="R313" s="10">
        <v>0.05</v>
      </c>
      <c r="S313">
        <f>ROUND(ТабCЕС[[#This Row],[Зелений Тариф ЕЦ]]+ТабCЕС[[#This Row],[Зелений Тариф ЕЦ]]*ТабCЕС[[#This Row],[% надбавки]],4)</f>
        <v>0.1578</v>
      </c>
      <c r="T313" s="8">
        <v>43676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1.3120000000000001</v>
      </c>
      <c r="AZ313">
        <v>5.3959999999999999</v>
      </c>
    </row>
    <row r="314" spans="2:52">
      <c r="C314" t="s">
        <v>58</v>
      </c>
      <c r="D314" t="s">
        <v>384</v>
      </c>
      <c r="F314" s="1" t="s">
        <v>1193</v>
      </c>
      <c r="G314" s="1" t="s">
        <v>384</v>
      </c>
      <c r="H314" t="s">
        <v>65</v>
      </c>
      <c r="K314" t="s">
        <v>1194</v>
      </c>
      <c r="L314" s="7">
        <v>10.573</v>
      </c>
      <c r="M314" s="8">
        <v>43529</v>
      </c>
      <c r="N314">
        <v>3</v>
      </c>
      <c r="O314" t="s">
        <v>67</v>
      </c>
      <c r="P314">
        <v>2019</v>
      </c>
      <c r="Q314">
        <v>0.15029999999999999</v>
      </c>
      <c r="R314" s="10"/>
      <c r="S314">
        <f>ROUND(ТабCЕС[[#This Row],[Зелений Тариф ЕЦ]]+ТабCЕС[[#This Row],[Зелений Тариф ЕЦ]]*ТабCЕС[[#This Row],[% надбавки]],4)</f>
        <v>0.15029999999999999</v>
      </c>
      <c r="T314" s="8"/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1.3440000000000001</v>
      </c>
      <c r="AX314">
        <v>1.7350000000000001</v>
      </c>
      <c r="AY314">
        <v>1.671</v>
      </c>
      <c r="AZ314">
        <v>1.629</v>
      </c>
    </row>
    <row r="315" spans="2:52">
      <c r="C315" t="s">
        <v>58</v>
      </c>
      <c r="D315" t="s">
        <v>384</v>
      </c>
      <c r="F315" s="1" t="s">
        <v>1195</v>
      </c>
      <c r="G315" s="1" t="s">
        <v>384</v>
      </c>
      <c r="H315" t="s">
        <v>73</v>
      </c>
      <c r="K315" t="s">
        <v>1196</v>
      </c>
      <c r="L315" s="7">
        <v>6.8239999999999998</v>
      </c>
      <c r="M315" s="8">
        <v>43637</v>
      </c>
      <c r="N315">
        <v>6</v>
      </c>
      <c r="O315" t="s">
        <v>57</v>
      </c>
      <c r="P315">
        <v>2019</v>
      </c>
      <c r="Q315">
        <v>0.15029999999999999</v>
      </c>
      <c r="R315" s="10"/>
      <c r="S315">
        <f>ROUND(ТабCЕС[[#This Row],[Зелений Тариф ЕЦ]]+ТабCЕС[[#This Row],[Зелений Тариф ЕЦ]]*ТабCЕС[[#This Row],[% надбавки]],4)</f>
        <v>0.15029999999999999</v>
      </c>
      <c r="T315" s="8"/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</row>
    <row r="316" spans="2:52">
      <c r="C316" t="s">
        <v>58</v>
      </c>
      <c r="D316" t="s">
        <v>384</v>
      </c>
      <c r="F316" s="1" t="s">
        <v>1197</v>
      </c>
      <c r="G316" s="1" t="s">
        <v>1198</v>
      </c>
      <c r="H316" t="s">
        <v>176</v>
      </c>
      <c r="K316" t="s">
        <v>1199</v>
      </c>
      <c r="L316" s="7">
        <v>2.746</v>
      </c>
      <c r="M316" s="8">
        <v>43524</v>
      </c>
      <c r="N316">
        <v>2</v>
      </c>
      <c r="O316" t="s">
        <v>67</v>
      </c>
      <c r="P316">
        <v>2019</v>
      </c>
      <c r="Q316">
        <v>0.15029999999999999</v>
      </c>
      <c r="R316" s="10"/>
      <c r="S316">
        <f>ROUND(ТабCЕС[[#This Row],[Зелений Тариф ЕЦ]]+ТабCЕС[[#This Row],[Зелений Тариф ЕЦ]]*ТабCЕС[[#This Row],[% надбавки]],4)</f>
        <v>0.15029999999999999</v>
      </c>
      <c r="T316" s="8"/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0.32600000000000001</v>
      </c>
      <c r="AW316">
        <v>0.35399999999999998</v>
      </c>
      <c r="AX316">
        <v>0.45300000000000001</v>
      </c>
      <c r="AY316">
        <v>0.44500000000000001</v>
      </c>
      <c r="AZ316">
        <v>0.43</v>
      </c>
    </row>
    <row r="317" spans="2:52">
      <c r="C317" t="s">
        <v>58</v>
      </c>
      <c r="D317" t="s">
        <v>384</v>
      </c>
      <c r="F317" s="1" t="s">
        <v>1200</v>
      </c>
      <c r="G317" s="1" t="s">
        <v>1201</v>
      </c>
      <c r="H317" t="s">
        <v>98</v>
      </c>
      <c r="K317" t="s">
        <v>1202</v>
      </c>
      <c r="L317" s="7">
        <v>9.9489999999999998</v>
      </c>
      <c r="M317" s="8">
        <v>43455</v>
      </c>
      <c r="N317">
        <v>12</v>
      </c>
      <c r="O317" t="s">
        <v>71</v>
      </c>
      <c r="P317">
        <v>2018</v>
      </c>
      <c r="Q317">
        <v>0.15029999999999999</v>
      </c>
      <c r="R317" s="10"/>
      <c r="S317">
        <f>ROUND(ТабCЕС[[#This Row],[Зелений Тариф ЕЦ]]+ТабCЕС[[#This Row],[Зелений Тариф ЕЦ]]*ТабCЕС[[#This Row],[% надбавки]],4)</f>
        <v>0.15029999999999999</v>
      </c>
      <c r="T317" s="8"/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4.8000000000000001E-2</v>
      </c>
      <c r="AT317">
        <v>0.66300000000000003</v>
      </c>
      <c r="AU317">
        <v>0.96199999999999997</v>
      </c>
      <c r="AV317">
        <v>1.232</v>
      </c>
      <c r="AW317">
        <v>1.052</v>
      </c>
      <c r="AX317">
        <v>1.58</v>
      </c>
      <c r="AY317">
        <v>1.478</v>
      </c>
      <c r="AZ317">
        <v>1.534</v>
      </c>
    </row>
    <row r="318" spans="2:52">
      <c r="C318" t="s">
        <v>58</v>
      </c>
      <c r="D318" t="s">
        <v>384</v>
      </c>
      <c r="F318" s="1" t="s">
        <v>1203</v>
      </c>
      <c r="G318" s="1" t="s">
        <v>384</v>
      </c>
      <c r="H318" t="s">
        <v>82</v>
      </c>
      <c r="K318" t="s">
        <v>1204</v>
      </c>
      <c r="L318" s="7">
        <v>5.34</v>
      </c>
      <c r="M318" s="8">
        <v>43602</v>
      </c>
      <c r="N318">
        <v>5</v>
      </c>
      <c r="O318" t="s">
        <v>57</v>
      </c>
      <c r="P318">
        <v>2019</v>
      </c>
      <c r="Q318">
        <v>0.15029999999999999</v>
      </c>
      <c r="R318" s="10"/>
      <c r="S318">
        <f>ROUND(ТабCЕС[[#This Row],[Зелений Тариф ЕЦ]]+ТабCЕС[[#This Row],[Зелений Тариф ЕЦ]]*ТабCЕС[[#This Row],[% надбавки]],4)</f>
        <v>0.15029999999999999</v>
      </c>
      <c r="T318" s="8"/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</row>
    <row r="319" spans="2:52">
      <c r="B319" t="s">
        <v>1205</v>
      </c>
      <c r="C319">
        <v>40576514</v>
      </c>
      <c r="D319" t="s">
        <v>384</v>
      </c>
      <c r="F319" s="1" t="s">
        <v>1206</v>
      </c>
      <c r="G319" s="1" t="s">
        <v>384</v>
      </c>
      <c r="H319" t="s">
        <v>198</v>
      </c>
      <c r="I319" t="s">
        <v>516</v>
      </c>
      <c r="J319" t="s">
        <v>1207</v>
      </c>
      <c r="K319" t="s">
        <v>1207</v>
      </c>
      <c r="L319" s="7">
        <v>0.54500000000000004</v>
      </c>
      <c r="M319" s="8">
        <v>42733</v>
      </c>
      <c r="N319">
        <v>12</v>
      </c>
      <c r="O319" t="s">
        <v>71</v>
      </c>
      <c r="P319">
        <v>2016</v>
      </c>
      <c r="Q319">
        <v>0.15989999999999999</v>
      </c>
      <c r="R319" s="10"/>
      <c r="S319">
        <f>ROUND(ТабCЕС[[#This Row],[Зелений Тариф ЕЦ]]+ТабCЕС[[#This Row],[Зелений Тариф ЕЦ]]*ТабCЕС[[#This Row],[% надбавки]],4)</f>
        <v>0.15989999999999999</v>
      </c>
      <c r="T319" s="8"/>
      <c r="U319">
        <v>0</v>
      </c>
      <c r="V319">
        <v>2.9000000000000001E-2</v>
      </c>
      <c r="W319">
        <v>5.6000000000000008E-2</v>
      </c>
      <c r="X319">
        <v>7.5999999999999998E-2</v>
      </c>
      <c r="Y319">
        <v>8.6999999999999994E-2</v>
      </c>
      <c r="Z319">
        <v>8.8000000000000023E-2</v>
      </c>
      <c r="AA319">
        <v>8.3999999999999964E-2</v>
      </c>
      <c r="AB319">
        <v>8.500000000000002E-2</v>
      </c>
      <c r="AC319">
        <v>5.5000000000000049E-2</v>
      </c>
      <c r="AD319">
        <v>3.5999999999999921E-2</v>
      </c>
      <c r="AE319">
        <v>1.4000000000000012E-2</v>
      </c>
      <c r="AF319">
        <v>1.100000000000001E-2</v>
      </c>
      <c r="AG319">
        <v>2.1000000000000001E-2</v>
      </c>
      <c r="AH319">
        <v>2.4E-2</v>
      </c>
      <c r="AI319">
        <v>4.7E-2</v>
      </c>
      <c r="AJ319">
        <v>8.8999999999999996E-2</v>
      </c>
      <c r="AK319">
        <v>9.0999999999999998E-2</v>
      </c>
      <c r="AL319">
        <v>7.5999999999999998E-2</v>
      </c>
      <c r="AM319">
        <v>7.8E-2</v>
      </c>
      <c r="AN319">
        <v>0.09</v>
      </c>
      <c r="AO319">
        <v>5.7000000000000002E-2</v>
      </c>
      <c r="AP319">
        <v>5.7000000000000002E-2</v>
      </c>
      <c r="AQ319">
        <v>1.4999999999999999E-2</v>
      </c>
      <c r="AR319">
        <v>8.9999999999999993E-3</v>
      </c>
      <c r="AS319">
        <v>1.0999999999999999E-2</v>
      </c>
      <c r="AT319">
        <v>2.5999999999999999E-2</v>
      </c>
      <c r="AU319">
        <v>5.3999999999999999E-2</v>
      </c>
      <c r="AV319">
        <v>6.5000000000000002E-2</v>
      </c>
      <c r="AW319">
        <v>7.0000000000000007E-2</v>
      </c>
      <c r="AX319">
        <v>0.08</v>
      </c>
      <c r="AY319">
        <v>0.08</v>
      </c>
      <c r="AZ319">
        <v>8.2000000000000003E-2</v>
      </c>
    </row>
    <row r="320" spans="2:52">
      <c r="C320" t="s">
        <v>58</v>
      </c>
      <c r="D320" t="s">
        <v>384</v>
      </c>
      <c r="F320" s="1" t="s">
        <v>1208</v>
      </c>
      <c r="H320" t="s">
        <v>65</v>
      </c>
      <c r="K320" t="s">
        <v>1209</v>
      </c>
      <c r="L320" s="7">
        <v>5.0720000000000001</v>
      </c>
      <c r="M320" s="8">
        <v>43111</v>
      </c>
      <c r="N320">
        <v>1</v>
      </c>
      <c r="O320" t="s">
        <v>67</v>
      </c>
      <c r="P320">
        <v>2018</v>
      </c>
      <c r="Q320">
        <v>0.15029999999999999</v>
      </c>
      <c r="R320" s="10"/>
      <c r="S320">
        <f>ROUND(ТабCЕС[[#This Row],[Зелений Тариф ЕЦ]]+ТабCЕС[[#This Row],[Зелений Тариф ЕЦ]]*ТабCЕС[[#This Row],[% надбавки]],4)</f>
        <v>0.15029999999999999</v>
      </c>
      <c r="T320" s="8"/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0.191</v>
      </c>
      <c r="AH320">
        <v>0.155</v>
      </c>
      <c r="AI320">
        <v>0.35099999999999998</v>
      </c>
      <c r="AJ320">
        <v>0.746</v>
      </c>
      <c r="AK320">
        <v>0.79900000000000004</v>
      </c>
      <c r="AL320">
        <v>0.622</v>
      </c>
      <c r="AM320">
        <v>0.66400000000000003</v>
      </c>
      <c r="AN320">
        <v>0.75600000000000001</v>
      </c>
      <c r="AO320">
        <v>0.624</v>
      </c>
      <c r="AP320">
        <v>0.502</v>
      </c>
      <c r="AQ320">
        <v>0.124</v>
      </c>
      <c r="AR320">
        <v>7.0000000000000007E-2</v>
      </c>
      <c r="AS320">
        <v>7.9000000000000001E-2</v>
      </c>
      <c r="AT320">
        <v>0.33800000000000002</v>
      </c>
      <c r="AU320">
        <v>0.52800000000000002</v>
      </c>
      <c r="AV320">
        <v>0.59399999999999997</v>
      </c>
      <c r="AW320">
        <v>0.53700000000000003</v>
      </c>
      <c r="AX320">
        <v>0.78100000000000003</v>
      </c>
      <c r="AY320">
        <v>0.76800000000000002</v>
      </c>
      <c r="AZ320">
        <v>0.746</v>
      </c>
    </row>
    <row r="321" spans="2:52">
      <c r="B321" t="s">
        <v>1210</v>
      </c>
      <c r="C321">
        <v>40808612</v>
      </c>
      <c r="D321" t="s">
        <v>384</v>
      </c>
      <c r="F321" s="1" t="s">
        <v>1211</v>
      </c>
      <c r="G321" s="1" t="s">
        <v>384</v>
      </c>
      <c r="H321" t="s">
        <v>122</v>
      </c>
      <c r="K321" t="s">
        <v>1212</v>
      </c>
      <c r="L321" s="7">
        <v>0.6</v>
      </c>
      <c r="M321" s="8">
        <v>42803</v>
      </c>
      <c r="N321">
        <v>3</v>
      </c>
      <c r="O321" t="s">
        <v>67</v>
      </c>
      <c r="P321">
        <v>2017</v>
      </c>
      <c r="Q321">
        <v>0.15989999999999999</v>
      </c>
      <c r="R321" s="10"/>
      <c r="S321">
        <f>ROUND(ТабCЕС[[#This Row],[Зелений Тариф ЕЦ]]+ТабCЕС[[#This Row],[Зелений Тариф ЕЦ]]*ТабCЕС[[#This Row],[% надбавки]],4)</f>
        <v>0.15989999999999999</v>
      </c>
      <c r="T321" s="8"/>
      <c r="U321">
        <v>0</v>
      </c>
      <c r="V321">
        <v>0</v>
      </c>
      <c r="W321">
        <v>0</v>
      </c>
      <c r="X321">
        <v>0</v>
      </c>
      <c r="Y321">
        <v>0</v>
      </c>
      <c r="Z321">
        <v>0.104</v>
      </c>
      <c r="AA321">
        <v>9.6000000000000016E-2</v>
      </c>
      <c r="AB321">
        <v>9.4999999999999973E-2</v>
      </c>
      <c r="AC321">
        <v>8.500000000000002E-2</v>
      </c>
      <c r="AD321">
        <v>3.2999999999999974E-2</v>
      </c>
      <c r="AE321">
        <v>1.6000000000000014E-2</v>
      </c>
      <c r="AF321">
        <v>9.000000000000008E-3</v>
      </c>
      <c r="AG321">
        <v>1.4E-2</v>
      </c>
      <c r="AH321">
        <v>2.4E-2</v>
      </c>
      <c r="AI321">
        <v>4.9000000000000002E-2</v>
      </c>
      <c r="AJ321">
        <v>8.8999999999999996E-2</v>
      </c>
      <c r="AK321">
        <v>0.105</v>
      </c>
      <c r="AL321">
        <v>0.104</v>
      </c>
      <c r="AM321">
        <v>8.8999999999999996E-2</v>
      </c>
      <c r="AN321">
        <v>0.107</v>
      </c>
      <c r="AO321">
        <v>6.6000000000000003E-2</v>
      </c>
      <c r="AP321">
        <v>6.4000000000000001E-2</v>
      </c>
      <c r="AQ321">
        <v>2.5999999999999999E-2</v>
      </c>
      <c r="AR321">
        <v>5.0000000000000001E-3</v>
      </c>
      <c r="AS321">
        <v>1.2E-2</v>
      </c>
      <c r="AT321">
        <v>2.5999999999999999E-2</v>
      </c>
      <c r="AU321">
        <v>6.4000000000000001E-2</v>
      </c>
      <c r="AV321">
        <v>8.3000000000000004E-2</v>
      </c>
      <c r="AW321">
        <v>0.193</v>
      </c>
      <c r="AX321">
        <v>0.217</v>
      </c>
      <c r="AY321">
        <v>0.10299999999999999</v>
      </c>
      <c r="AZ321">
        <v>9.6000000000000002E-2</v>
      </c>
    </row>
    <row r="322" spans="2:52">
      <c r="B322" t="s">
        <v>1213</v>
      </c>
      <c r="C322">
        <v>40808612</v>
      </c>
      <c r="D322" t="s">
        <v>384</v>
      </c>
      <c r="F322" s="1" t="s">
        <v>1211</v>
      </c>
      <c r="G322" s="1" t="s">
        <v>686</v>
      </c>
      <c r="H322" t="s">
        <v>122</v>
      </c>
      <c r="K322" t="s">
        <v>1214</v>
      </c>
      <c r="L322" s="7">
        <v>0.69499999999999995</v>
      </c>
      <c r="M322" s="8">
        <v>43476</v>
      </c>
      <c r="N322">
        <v>1</v>
      </c>
      <c r="O322" t="s">
        <v>67</v>
      </c>
      <c r="P322">
        <v>2019</v>
      </c>
      <c r="Q322">
        <v>0.15029999999999999</v>
      </c>
      <c r="R322" s="10"/>
      <c r="S322">
        <f>ROUND(ТабCЕС[[#This Row],[Зелений Тариф ЕЦ]]+ТабCЕС[[#This Row],[Зелений Тариф ЕЦ]]*ТабCЕС[[#This Row],[% надбавки]],4)</f>
        <v>0.15029999999999999</v>
      </c>
      <c r="T322" s="8"/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0.113</v>
      </c>
      <c r="AZ322">
        <v>0.106</v>
      </c>
    </row>
    <row r="323" spans="2:52">
      <c r="C323" t="s">
        <v>58</v>
      </c>
      <c r="D323" t="s">
        <v>384</v>
      </c>
      <c r="F323" s="1" t="s">
        <v>1215</v>
      </c>
      <c r="G323" s="1" t="s">
        <v>384</v>
      </c>
      <c r="H323" t="s">
        <v>65</v>
      </c>
      <c r="K323" t="s">
        <v>1216</v>
      </c>
      <c r="L323" s="7">
        <v>4.048</v>
      </c>
      <c r="M323" s="8">
        <v>42905</v>
      </c>
      <c r="N323">
        <v>6</v>
      </c>
      <c r="O323" t="s">
        <v>57</v>
      </c>
      <c r="P323">
        <v>2017</v>
      </c>
      <c r="Q323">
        <v>0.15989999999999999</v>
      </c>
      <c r="R323" s="10"/>
      <c r="S323">
        <f>ROUND(ТабCЕС[[#This Row],[Зелений Тариф ЕЦ]]+ТабCЕС[[#This Row],[Зелений Тариф ЕЦ]]*ТабCЕС[[#This Row],[% надбавки]],4)</f>
        <v>0.15989999999999999</v>
      </c>
      <c r="T323" s="8"/>
      <c r="U323">
        <v>0</v>
      </c>
      <c r="V323">
        <v>0</v>
      </c>
      <c r="W323">
        <v>0</v>
      </c>
      <c r="X323">
        <v>0</v>
      </c>
      <c r="Y323">
        <v>0</v>
      </c>
      <c r="Z323">
        <v>0.17100000000000001</v>
      </c>
      <c r="AA323">
        <v>0.60299999999999998</v>
      </c>
      <c r="AB323">
        <v>0.60799999999999987</v>
      </c>
      <c r="AC323">
        <v>0.42200000000000015</v>
      </c>
      <c r="AD323">
        <v>0.34599999999999986</v>
      </c>
      <c r="AE323">
        <v>0.11100000000000021</v>
      </c>
      <c r="AF323">
        <v>9.3999999999999861E-2</v>
      </c>
      <c r="AG323">
        <v>0.16</v>
      </c>
      <c r="AH323">
        <v>0.129</v>
      </c>
      <c r="AI323">
        <v>0.28799999999999998</v>
      </c>
      <c r="AJ323">
        <v>0.60099999999999998</v>
      </c>
      <c r="AK323">
        <v>0.61699999999999999</v>
      </c>
      <c r="AL323">
        <v>0.49399999999999999</v>
      </c>
      <c r="AM323">
        <v>0.53300000000000003</v>
      </c>
      <c r="AN323">
        <v>0.60099999999999998</v>
      </c>
      <c r="AO323">
        <v>0.499</v>
      </c>
      <c r="AP323">
        <v>0.40300000000000002</v>
      </c>
      <c r="AQ323">
        <v>0.10199999999999999</v>
      </c>
      <c r="AR323">
        <v>5.8000000000000003E-2</v>
      </c>
      <c r="AS323">
        <v>6.8000000000000005E-2</v>
      </c>
      <c r="AT323">
        <v>0.27300000000000002</v>
      </c>
      <c r="AU323">
        <v>0.42599999999999999</v>
      </c>
      <c r="AV323">
        <v>0.47799999999999998</v>
      </c>
      <c r="AW323">
        <v>0.46300000000000002</v>
      </c>
      <c r="AX323">
        <v>0.60199999999999998</v>
      </c>
      <c r="AY323">
        <v>0.63</v>
      </c>
      <c r="AZ323">
        <v>0.59099999999999997</v>
      </c>
    </row>
    <row r="324" spans="2:52">
      <c r="C324" t="s">
        <v>58</v>
      </c>
      <c r="D324" t="s">
        <v>384</v>
      </c>
      <c r="F324" s="1" t="s">
        <v>1217</v>
      </c>
      <c r="G324" s="1" t="s">
        <v>1218</v>
      </c>
      <c r="H324" t="s">
        <v>107</v>
      </c>
      <c r="K324" t="s">
        <v>1219</v>
      </c>
      <c r="L324" s="7">
        <v>0.40500000000000003</v>
      </c>
      <c r="M324" s="8">
        <v>42838</v>
      </c>
      <c r="N324">
        <v>4</v>
      </c>
      <c r="O324" t="s">
        <v>57</v>
      </c>
      <c r="P324">
        <v>2017</v>
      </c>
      <c r="Q324">
        <v>0.15029999999999999</v>
      </c>
      <c r="R324" s="10"/>
      <c r="S324">
        <f>ROUND(ТабCЕС[[#This Row],[Зелений Тариф ЕЦ]]+ТабCЕС[[#This Row],[Зелений Тариф ЕЦ]]*ТабCЕС[[#This Row],[% надбавки]],4)</f>
        <v>0.15029999999999999</v>
      </c>
      <c r="T324" s="8"/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5.1999999999999998E-2</v>
      </c>
      <c r="AC324">
        <v>4.1000000000000002E-2</v>
      </c>
      <c r="AD324">
        <v>1.7000000000000001E-2</v>
      </c>
      <c r="AE324">
        <v>7.9999999999999932E-3</v>
      </c>
      <c r="AF324">
        <v>4.0000000000000036E-3</v>
      </c>
      <c r="AG324">
        <v>5.0000000000000001E-3</v>
      </c>
      <c r="AH324">
        <v>1.2999999999999999E-2</v>
      </c>
      <c r="AI324">
        <v>2.5000000000000001E-2</v>
      </c>
      <c r="AJ324">
        <v>5.5E-2</v>
      </c>
      <c r="AK324">
        <v>6.2E-2</v>
      </c>
      <c r="AL324">
        <v>5.6000000000000001E-2</v>
      </c>
      <c r="AM324">
        <v>4.9000000000000002E-2</v>
      </c>
      <c r="AN324">
        <v>6.2E-2</v>
      </c>
      <c r="AO324">
        <v>4.2999999999999997E-2</v>
      </c>
      <c r="AP324">
        <v>3.3000000000000002E-2</v>
      </c>
      <c r="AQ324">
        <v>1.2E-2</v>
      </c>
      <c r="AR324">
        <v>0</v>
      </c>
      <c r="AS324">
        <v>6.0000000000000001E-3</v>
      </c>
      <c r="AT324">
        <v>1.7000000000000001E-2</v>
      </c>
      <c r="AU324">
        <v>0.04</v>
      </c>
      <c r="AV324">
        <v>4.5999999999999999E-2</v>
      </c>
      <c r="AW324">
        <v>5.1999999999999998E-2</v>
      </c>
      <c r="AX324">
        <v>0.05</v>
      </c>
      <c r="AY324">
        <v>5.3999999999999999E-2</v>
      </c>
      <c r="AZ324">
        <v>5.0999999999999997E-2</v>
      </c>
    </row>
    <row r="325" spans="2:52">
      <c r="B325" t="s">
        <v>1220</v>
      </c>
      <c r="C325">
        <v>38411283</v>
      </c>
      <c r="D325" t="s">
        <v>384</v>
      </c>
      <c r="F325" s="1" t="s">
        <v>1221</v>
      </c>
      <c r="G325" s="1" t="s">
        <v>384</v>
      </c>
      <c r="H325" t="s">
        <v>65</v>
      </c>
      <c r="K325" t="s">
        <v>1222</v>
      </c>
      <c r="L325" s="7">
        <v>4.1269999999999998</v>
      </c>
      <c r="M325" s="8">
        <v>42681</v>
      </c>
      <c r="N325">
        <v>11</v>
      </c>
      <c r="O325" t="s">
        <v>71</v>
      </c>
      <c r="P325">
        <v>2016</v>
      </c>
      <c r="Q325">
        <v>0.15989999999999999</v>
      </c>
      <c r="R325" s="10"/>
      <c r="S325">
        <f>ROUND(ТабCЕС[[#This Row],[Зелений Тариф ЕЦ]]+ТабCЕС[[#This Row],[Зелений Тариф ЕЦ]]*ТабCЕС[[#This Row],[% надбавки]],4)</f>
        <v>0.15989999999999999</v>
      </c>
      <c r="T325" s="8"/>
      <c r="U325">
        <v>0</v>
      </c>
      <c r="V325">
        <v>0</v>
      </c>
      <c r="W325">
        <v>0</v>
      </c>
      <c r="X325">
        <v>0.40699999999999997</v>
      </c>
      <c r="Y325">
        <v>0.54600000000000004</v>
      </c>
      <c r="Z325">
        <v>0.63200000000000001</v>
      </c>
      <c r="AA325">
        <v>0.6379999999999999</v>
      </c>
      <c r="AB325">
        <v>0.59400000000000031</v>
      </c>
      <c r="AC325">
        <v>0.44099999999999984</v>
      </c>
      <c r="AD325">
        <v>0.34299999999999997</v>
      </c>
      <c r="AE325">
        <v>0.11900000000000022</v>
      </c>
      <c r="AF325">
        <v>0.16199999999999992</v>
      </c>
      <c r="AG325">
        <v>0.125</v>
      </c>
      <c r="AH325">
        <v>0.106</v>
      </c>
      <c r="AI325">
        <v>0.27700000000000002</v>
      </c>
      <c r="AJ325">
        <v>0.54500000000000004</v>
      </c>
      <c r="AK325">
        <v>0.63200000000000001</v>
      </c>
      <c r="AL325">
        <v>0.49399999999999999</v>
      </c>
      <c r="AM325">
        <v>0.54800000000000004</v>
      </c>
      <c r="AN325">
        <v>0.60399999999999998</v>
      </c>
      <c r="AO325">
        <v>0.50600000000000001</v>
      </c>
      <c r="AP325">
        <v>0.40799999999999997</v>
      </c>
      <c r="AQ325">
        <v>0.14000000000000001</v>
      </c>
      <c r="AR325">
        <v>6.9000000000000006E-2</v>
      </c>
      <c r="AS325">
        <v>7.6999999999999999E-2</v>
      </c>
      <c r="AT325">
        <v>0.26300000000000001</v>
      </c>
      <c r="AU325">
        <v>0.42899999999999999</v>
      </c>
      <c r="AV325">
        <v>0.48099999999999998</v>
      </c>
      <c r="AW325">
        <v>0.49399999999999999</v>
      </c>
      <c r="AX325">
        <v>0.64500000000000002</v>
      </c>
      <c r="AY325">
        <v>0.63900000000000001</v>
      </c>
      <c r="AZ325">
        <v>0.60299999999999998</v>
      </c>
    </row>
    <row r="326" spans="2:52">
      <c r="B326" t="s">
        <v>1223</v>
      </c>
      <c r="C326">
        <v>38411283</v>
      </c>
      <c r="D326" t="s">
        <v>384</v>
      </c>
      <c r="F326" s="1" t="s">
        <v>1221</v>
      </c>
      <c r="G326" s="1" t="s">
        <v>683</v>
      </c>
      <c r="H326" t="s">
        <v>65</v>
      </c>
      <c r="K326" t="s">
        <v>1224</v>
      </c>
      <c r="L326" s="7">
        <v>2.9969999999999999</v>
      </c>
      <c r="M326" s="8">
        <v>43046</v>
      </c>
      <c r="N326">
        <v>11</v>
      </c>
      <c r="O326" t="s">
        <v>71</v>
      </c>
      <c r="P326">
        <v>2017</v>
      </c>
      <c r="Q326">
        <v>0.15029999999999999</v>
      </c>
      <c r="R326" s="10"/>
      <c r="S326">
        <f>ROUND(ТабCЕС[[#This Row],[Зелений Тариф ЕЦ]]+ТабCЕС[[#This Row],[Зелений Тариф ЕЦ]]*ТабCЕС[[#This Row],[% надбавки]],4)</f>
        <v>0.15029999999999999</v>
      </c>
      <c r="T326" s="8"/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0.105</v>
      </c>
      <c r="AH326">
        <v>8.8999999999999996E-2</v>
      </c>
      <c r="AI326">
        <v>0.221</v>
      </c>
      <c r="AJ326">
        <v>0.42099999999999999</v>
      </c>
      <c r="AK326">
        <v>0.45500000000000002</v>
      </c>
      <c r="AL326">
        <v>0.36599999999999999</v>
      </c>
      <c r="AM326">
        <v>0.40400000000000003</v>
      </c>
      <c r="AN326">
        <v>0.438</v>
      </c>
      <c r="AO326">
        <v>0.374</v>
      </c>
      <c r="AP326">
        <v>0.30499999999999999</v>
      </c>
      <c r="AQ326">
        <v>8.7999999999999995E-2</v>
      </c>
      <c r="AR326">
        <v>4.9000000000000002E-2</v>
      </c>
      <c r="AS326">
        <v>6.2E-2</v>
      </c>
      <c r="AT326">
        <v>0.20300000000000001</v>
      </c>
      <c r="AU326">
        <v>0.31</v>
      </c>
      <c r="AV326">
        <v>0.34599999999999997</v>
      </c>
      <c r="AW326">
        <v>0.35499999999999998</v>
      </c>
      <c r="AX326">
        <v>0.46700000000000003</v>
      </c>
      <c r="AY326">
        <v>0.46400000000000002</v>
      </c>
      <c r="AZ326">
        <v>0.45200000000000001</v>
      </c>
    </row>
    <row r="327" spans="2:52">
      <c r="B327" t="s">
        <v>1225</v>
      </c>
      <c r="C327">
        <v>38431961</v>
      </c>
      <c r="D327" t="s">
        <v>384</v>
      </c>
      <c r="F327" s="1" t="s">
        <v>1226</v>
      </c>
      <c r="G327" s="1" t="s">
        <v>384</v>
      </c>
      <c r="H327" t="s">
        <v>122</v>
      </c>
      <c r="K327" t="s">
        <v>1227</v>
      </c>
      <c r="L327" s="7">
        <v>1.9890000000000001</v>
      </c>
      <c r="M327" s="8">
        <v>41536</v>
      </c>
      <c r="N327">
        <v>9</v>
      </c>
      <c r="O327" t="s">
        <v>60</v>
      </c>
      <c r="P327">
        <v>2013</v>
      </c>
      <c r="Q327">
        <v>0.33929999999999999</v>
      </c>
      <c r="R327" s="10"/>
      <c r="S327">
        <f>ROUND(ТабCЕС[[#This Row],[Зелений Тариф ЕЦ]]+ТабCЕС[[#This Row],[Зелений Тариф ЕЦ]]*ТабCЕС[[#This Row],[% надбавки]],4)</f>
        <v>0.33929999999999999</v>
      </c>
      <c r="T327" s="8"/>
      <c r="U327">
        <v>7.8E-2</v>
      </c>
      <c r="V327">
        <v>0.12100000000000001</v>
      </c>
      <c r="W327">
        <v>0.19800000000000001</v>
      </c>
      <c r="X327">
        <v>0.24099999999999999</v>
      </c>
      <c r="Y327">
        <v>0.31799999999999995</v>
      </c>
      <c r="Z327">
        <v>0.33400000000000007</v>
      </c>
      <c r="AA327">
        <v>0.31299999999999994</v>
      </c>
      <c r="AB327">
        <v>0.28400000000000003</v>
      </c>
      <c r="AC327">
        <v>0.27099999999999991</v>
      </c>
      <c r="AD327">
        <v>0.12599999999999989</v>
      </c>
      <c r="AE327">
        <v>6.2000000000000277E-2</v>
      </c>
      <c r="AF327">
        <v>2.8999999999999915E-2</v>
      </c>
      <c r="AG327">
        <v>0.06</v>
      </c>
      <c r="AH327">
        <v>7.1999999999999995E-2</v>
      </c>
      <c r="AI327">
        <v>0.161</v>
      </c>
      <c r="AJ327">
        <v>0.29299999999999998</v>
      </c>
      <c r="AK327">
        <v>0.317</v>
      </c>
      <c r="AL327">
        <v>0.31</v>
      </c>
      <c r="AM327">
        <v>0.29199999999999998</v>
      </c>
      <c r="AN327">
        <v>0.32500000000000001</v>
      </c>
      <c r="AO327">
        <v>0.21099999999999999</v>
      </c>
      <c r="AP327">
        <v>0.218</v>
      </c>
      <c r="AQ327">
        <v>7.4999999999999997E-2</v>
      </c>
      <c r="AR327">
        <v>2.1000000000000001E-2</v>
      </c>
      <c r="AS327">
        <v>4.1000000000000002E-2</v>
      </c>
      <c r="AT327">
        <v>9.4E-2</v>
      </c>
      <c r="AU327">
        <v>0.21199999999999999</v>
      </c>
      <c r="AV327">
        <v>0.27100000000000002</v>
      </c>
      <c r="AW327">
        <v>0.28299999999999997</v>
      </c>
      <c r="AX327">
        <v>0.307</v>
      </c>
      <c r="AY327">
        <v>0.32500000000000001</v>
      </c>
      <c r="AZ327">
        <v>0.29499999999999998</v>
      </c>
    </row>
    <row r="328" spans="2:52">
      <c r="B328" t="s">
        <v>1228</v>
      </c>
      <c r="C328">
        <v>38431961</v>
      </c>
      <c r="D328" t="s">
        <v>384</v>
      </c>
      <c r="F328" s="1" t="s">
        <v>1226</v>
      </c>
      <c r="G328" s="1" t="s">
        <v>384</v>
      </c>
      <c r="H328" t="s">
        <v>122</v>
      </c>
      <c r="K328" t="s">
        <v>1229</v>
      </c>
      <c r="L328" s="7">
        <v>2.9550000000000001</v>
      </c>
      <c r="M328" s="8">
        <v>42780</v>
      </c>
      <c r="N328">
        <v>2</v>
      </c>
      <c r="O328" t="s">
        <v>67</v>
      </c>
      <c r="P328">
        <v>2017</v>
      </c>
      <c r="Q328">
        <v>0.15989999999999999</v>
      </c>
      <c r="R328" s="10"/>
      <c r="S328">
        <f>ROUND(ТабCЕС[[#This Row],[Зелений Тариф ЕЦ]]+ТабCЕС[[#This Row],[Зелений Тариф ЕЦ]]*ТабCЕС[[#This Row],[% надбавки]],4)</f>
        <v>0.15989999999999999</v>
      </c>
      <c r="T328" s="8"/>
      <c r="U328">
        <v>0</v>
      </c>
      <c r="V328">
        <v>0</v>
      </c>
      <c r="W328">
        <v>0</v>
      </c>
      <c r="X328">
        <v>0</v>
      </c>
      <c r="Y328">
        <v>0.5</v>
      </c>
      <c r="Z328">
        <v>0.44299999999999995</v>
      </c>
      <c r="AA328">
        <v>0.46400000000000008</v>
      </c>
      <c r="AB328">
        <v>0.43900000000000006</v>
      </c>
      <c r="AC328">
        <v>0.40599999999999969</v>
      </c>
      <c r="AD328">
        <v>0.18700000000000028</v>
      </c>
      <c r="AE328">
        <v>9.6999999999999975E-2</v>
      </c>
      <c r="AF328">
        <v>5.1000000000000156E-2</v>
      </c>
      <c r="AG328">
        <v>9.6000000000000002E-2</v>
      </c>
      <c r="AH328">
        <v>0.107</v>
      </c>
      <c r="AI328">
        <v>0.23799999999999999</v>
      </c>
      <c r="AJ328">
        <v>0.44</v>
      </c>
      <c r="AK328">
        <v>0.46899999999999997</v>
      </c>
      <c r="AL328">
        <v>0.46899999999999997</v>
      </c>
      <c r="AM328">
        <v>0.436</v>
      </c>
      <c r="AN328">
        <v>0.48499999999999999</v>
      </c>
      <c r="AO328">
        <v>0.311</v>
      </c>
      <c r="AP328">
        <v>0.32100000000000001</v>
      </c>
      <c r="AQ328">
        <v>0.11700000000000001</v>
      </c>
      <c r="AR328">
        <v>3.6999999999999998E-2</v>
      </c>
      <c r="AS328">
        <v>5.5E-2</v>
      </c>
      <c r="AT328">
        <v>0.13900000000000001</v>
      </c>
      <c r="AU328">
        <v>0.29299999999999998</v>
      </c>
      <c r="AV328">
        <v>0.42299999999999999</v>
      </c>
      <c r="AW328">
        <v>0.41899999999999998</v>
      </c>
      <c r="AX328">
        <v>0.45900000000000002</v>
      </c>
      <c r="AY328">
        <v>0.48899999999999999</v>
      </c>
      <c r="AZ328">
        <v>0.434</v>
      </c>
    </row>
    <row r="329" spans="2:52">
      <c r="B329" t="s">
        <v>1230</v>
      </c>
      <c r="C329">
        <v>38431961</v>
      </c>
      <c r="D329" t="s">
        <v>384</v>
      </c>
      <c r="F329" s="1" t="s">
        <v>1226</v>
      </c>
      <c r="G329" s="1" t="s">
        <v>384</v>
      </c>
      <c r="H329" t="s">
        <v>82</v>
      </c>
      <c r="K329" t="s">
        <v>1231</v>
      </c>
      <c r="L329" s="7">
        <v>8.0559999999999992</v>
      </c>
      <c r="M329" s="8">
        <v>43567</v>
      </c>
      <c r="N329">
        <v>4</v>
      </c>
      <c r="O329" t="s">
        <v>57</v>
      </c>
      <c r="P329">
        <v>2019</v>
      </c>
      <c r="Q329">
        <v>0.15029999999999999</v>
      </c>
      <c r="R329" s="10"/>
      <c r="S329">
        <f>ROUND(ТабCЕС[[#This Row],[Зелений Тариф ЕЦ]]+ТабCЕС[[#This Row],[Зелений Тариф ЕЦ]]*ТабCЕС[[#This Row],[% надбавки]],4)</f>
        <v>0.15029999999999999</v>
      </c>
      <c r="T329" s="8"/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0.44500000000000001</v>
      </c>
      <c r="AX329">
        <v>1.2490000000000001</v>
      </c>
      <c r="AY329">
        <v>1.089</v>
      </c>
      <c r="AZ329">
        <v>1.2470000000000001</v>
      </c>
    </row>
    <row r="330" spans="2:52">
      <c r="C330" t="s">
        <v>58</v>
      </c>
      <c r="D330" t="s">
        <v>384</v>
      </c>
      <c r="F330" s="1" t="s">
        <v>1232</v>
      </c>
      <c r="G330" s="1" t="s">
        <v>384</v>
      </c>
      <c r="H330" t="s">
        <v>122</v>
      </c>
      <c r="K330" t="s">
        <v>1233</v>
      </c>
      <c r="L330" s="7">
        <v>9.9600000000000009</v>
      </c>
      <c r="M330" s="8">
        <v>43564</v>
      </c>
      <c r="N330">
        <v>4</v>
      </c>
      <c r="O330" t="s">
        <v>57</v>
      </c>
      <c r="P330">
        <v>2019</v>
      </c>
      <c r="Q330">
        <v>0.15029999999999999</v>
      </c>
      <c r="R330" s="10"/>
      <c r="S330">
        <f>ROUND(ТабCЕС[[#This Row],[Зелений Тариф ЕЦ]]+ТабCЕС[[#This Row],[Зелений Тариф ЕЦ]]*ТабCЕС[[#This Row],[% надбавки]],4)</f>
        <v>0.15029999999999999</v>
      </c>
      <c r="T330" s="8"/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1.052</v>
      </c>
      <c r="AZ330">
        <v>1.52</v>
      </c>
    </row>
    <row r="331" spans="2:52">
      <c r="C331" t="s">
        <v>58</v>
      </c>
      <c r="D331" t="s">
        <v>384</v>
      </c>
      <c r="F331" s="1" t="s">
        <v>1234</v>
      </c>
      <c r="G331" s="1" t="s">
        <v>683</v>
      </c>
      <c r="H331" t="s">
        <v>122</v>
      </c>
      <c r="K331" t="s">
        <v>1235</v>
      </c>
      <c r="L331" s="7">
        <v>0.32900000000000001</v>
      </c>
      <c r="M331" s="8">
        <v>41557</v>
      </c>
      <c r="N331">
        <v>10</v>
      </c>
      <c r="O331" t="s">
        <v>71</v>
      </c>
      <c r="P331">
        <v>2013</v>
      </c>
      <c r="Q331">
        <v>0.33929999999999999</v>
      </c>
      <c r="R331" s="10"/>
      <c r="S331">
        <f>ROUND(ТабCЕС[[#This Row],[Зелений Тариф ЕЦ]]+ТабCЕС[[#This Row],[Зелений Тариф ЕЦ]]*ТабCЕС[[#This Row],[% надбавки]],4)</f>
        <v>0.33929999999999999</v>
      </c>
      <c r="T331" s="8"/>
      <c r="U331">
        <v>7.8E-2</v>
      </c>
      <c r="V331">
        <v>9.5999999999999988E-2</v>
      </c>
      <c r="W331">
        <v>0.2</v>
      </c>
      <c r="X331">
        <v>0.23099999999999998</v>
      </c>
      <c r="Y331">
        <v>0.32800000000000007</v>
      </c>
      <c r="Z331">
        <v>0.34299999999999997</v>
      </c>
      <c r="AA331">
        <v>0.32200000000000006</v>
      </c>
      <c r="AB331">
        <v>0.30099999999999993</v>
      </c>
      <c r="AC331">
        <v>0.23499999999999988</v>
      </c>
      <c r="AD331">
        <v>9.1000000000000192E-2</v>
      </c>
      <c r="AE331">
        <v>4.4000000000000039E-2</v>
      </c>
      <c r="AF331">
        <v>2.4000000000000021E-2</v>
      </c>
      <c r="AG331">
        <v>4.7E-2</v>
      </c>
      <c r="AH331">
        <v>6.4000000000000001E-2</v>
      </c>
      <c r="AI331">
        <v>0.14199999999999999</v>
      </c>
      <c r="AJ331">
        <v>0.28100000000000003</v>
      </c>
      <c r="AK331">
        <v>0.28499999999999998</v>
      </c>
      <c r="AL331">
        <v>0.34699999999999998</v>
      </c>
      <c r="AM331">
        <v>0.30499999999999999</v>
      </c>
      <c r="AN331">
        <v>0.32</v>
      </c>
      <c r="AO331">
        <v>0.19800000000000001</v>
      </c>
      <c r="AP331">
        <v>0.19600000000000001</v>
      </c>
      <c r="AQ331">
        <v>8.5999999999999993E-2</v>
      </c>
      <c r="AR331">
        <v>1.2E-2</v>
      </c>
      <c r="AS331">
        <v>4.3999999999999997E-2</v>
      </c>
      <c r="AT331">
        <v>7.0999999999999994E-2</v>
      </c>
      <c r="AU331">
        <v>0.17</v>
      </c>
      <c r="AV331">
        <v>0.25800000000000001</v>
      </c>
      <c r="AW331">
        <v>0.28199999999999997</v>
      </c>
      <c r="AX331">
        <v>0.30299999999999999</v>
      </c>
      <c r="AY331">
        <v>0.30099999999999999</v>
      </c>
      <c r="AZ331">
        <v>0.249</v>
      </c>
    </row>
    <row r="332" spans="2:52">
      <c r="C332" t="s">
        <v>58</v>
      </c>
      <c r="D332" t="s">
        <v>384</v>
      </c>
      <c r="F332" s="1" t="s">
        <v>1234</v>
      </c>
      <c r="G332" s="1" t="s">
        <v>686</v>
      </c>
      <c r="H332" t="s">
        <v>122</v>
      </c>
      <c r="K332" t="s">
        <v>1236</v>
      </c>
      <c r="L332" s="7">
        <v>1.319</v>
      </c>
      <c r="M332" s="8">
        <v>41557</v>
      </c>
      <c r="N332">
        <v>10</v>
      </c>
      <c r="O332" t="s">
        <v>71</v>
      </c>
      <c r="P332">
        <v>2013</v>
      </c>
      <c r="Q332">
        <v>0.33929999999999999</v>
      </c>
      <c r="R332" s="10"/>
      <c r="S332">
        <f>ROUND(ТабCЕС[[#This Row],[Зелений Тариф ЕЦ]]+ТабCЕС[[#This Row],[Зелений Тариф ЕЦ]]*ТабCЕС[[#This Row],[% надбавки]],4)</f>
        <v>0.33929999999999999</v>
      </c>
      <c r="T332" s="8"/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</row>
    <row r="333" spans="2:52">
      <c r="C333" t="s">
        <v>58</v>
      </c>
      <c r="D333" t="s">
        <v>384</v>
      </c>
      <c r="F333" s="1" t="s">
        <v>1234</v>
      </c>
      <c r="G333" s="1" t="s">
        <v>1237</v>
      </c>
      <c r="H333" t="s">
        <v>122</v>
      </c>
      <c r="K333" t="s">
        <v>1238</v>
      </c>
      <c r="L333" s="7">
        <v>0.92500000000000004</v>
      </c>
      <c r="M333" s="8">
        <v>42698</v>
      </c>
      <c r="N333">
        <v>11</v>
      </c>
      <c r="O333" t="s">
        <v>71</v>
      </c>
      <c r="P333">
        <v>2016</v>
      </c>
      <c r="Q333">
        <v>0.15989999999999999</v>
      </c>
      <c r="R333" s="10">
        <v>0.05</v>
      </c>
      <c r="S333">
        <f>ROUND(ТабCЕС[[#This Row],[Зелений Тариф ЕЦ]]+ТабCЕС[[#This Row],[Зелений Тариф ЕЦ]]*ТабCЕС[[#This Row],[% надбавки]],4)</f>
        <v>0.16789999999999999</v>
      </c>
      <c r="T333" s="8">
        <v>42917</v>
      </c>
      <c r="U333">
        <v>3.7999999999999999E-2</v>
      </c>
      <c r="V333">
        <v>6.2000000000000006E-2</v>
      </c>
      <c r="W333">
        <v>0.122</v>
      </c>
      <c r="X333">
        <v>0.14099999999999999</v>
      </c>
      <c r="Y333">
        <v>0.20499999999999996</v>
      </c>
      <c r="Z333">
        <v>0.20100000000000007</v>
      </c>
      <c r="AA333">
        <v>0.19299999999999995</v>
      </c>
      <c r="AB333">
        <v>0.18199999999999994</v>
      </c>
      <c r="AC333">
        <v>0.14700000000000002</v>
      </c>
      <c r="AD333">
        <v>5.8000000000000052E-2</v>
      </c>
      <c r="AE333">
        <v>3.0999999999999917E-2</v>
      </c>
      <c r="AF333">
        <v>1.8000000000000016E-2</v>
      </c>
      <c r="AG333">
        <v>4.3999999999999997E-2</v>
      </c>
      <c r="AH333">
        <v>4.9000000000000002E-2</v>
      </c>
      <c r="AI333">
        <v>0.1</v>
      </c>
      <c r="AJ333">
        <v>0.17599999999999999</v>
      </c>
      <c r="AK333">
        <v>0.19900000000000001</v>
      </c>
      <c r="AL333">
        <v>0.215</v>
      </c>
      <c r="AM333">
        <v>0.19</v>
      </c>
      <c r="AN333">
        <v>0.20399999999999999</v>
      </c>
      <c r="AO333">
        <v>0.124</v>
      </c>
      <c r="AP333">
        <v>0.11799999999999999</v>
      </c>
      <c r="AQ333">
        <v>5.0999999999999997E-2</v>
      </c>
      <c r="AR333">
        <v>5.0000000000000001E-3</v>
      </c>
      <c r="AS333">
        <v>0.02</v>
      </c>
      <c r="AT333">
        <v>4.3999999999999997E-2</v>
      </c>
      <c r="AU333">
        <v>0.11</v>
      </c>
      <c r="AV333">
        <v>0.16300000000000001</v>
      </c>
      <c r="AW333">
        <v>0.182</v>
      </c>
      <c r="AX333">
        <v>0.20499999999999999</v>
      </c>
      <c r="AY333">
        <v>0.20100000000000001</v>
      </c>
      <c r="AZ333">
        <v>0.18099999999999999</v>
      </c>
    </row>
    <row r="334" spans="2:52">
      <c r="C334" t="s">
        <v>58</v>
      </c>
      <c r="D334" t="s">
        <v>384</v>
      </c>
      <c r="F334" s="1" t="s">
        <v>1234</v>
      </c>
      <c r="G334" s="1" t="s">
        <v>384</v>
      </c>
      <c r="H334" t="s">
        <v>69</v>
      </c>
      <c r="K334" t="s">
        <v>1239</v>
      </c>
      <c r="L334" s="7">
        <v>18.609000000000002</v>
      </c>
      <c r="M334" s="8">
        <v>43158</v>
      </c>
      <c r="N334">
        <v>2</v>
      </c>
      <c r="O334" t="s">
        <v>67</v>
      </c>
      <c r="P334">
        <v>2018</v>
      </c>
      <c r="Q334">
        <v>0.15029999999999999</v>
      </c>
      <c r="R334" s="10"/>
      <c r="S334">
        <f>ROUND(ТабCЕС[[#This Row],[Зелений Тариф ЕЦ]]+ТабCЕС[[#This Row],[Зелений Тариф ЕЦ]]*ТабCЕС[[#This Row],[% надбавки]],4)</f>
        <v>0.15029999999999999</v>
      </c>
      <c r="T334" s="8"/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0.92400000000000004</v>
      </c>
      <c r="AJ334">
        <v>1.625</v>
      </c>
      <c r="AK334">
        <v>1.915</v>
      </c>
      <c r="AL334">
        <v>1.9359999999999999</v>
      </c>
      <c r="AM334">
        <v>1.728</v>
      </c>
      <c r="AN334">
        <v>2.6360000000000001</v>
      </c>
      <c r="AO334">
        <v>2.09</v>
      </c>
      <c r="AP334">
        <v>2.1850000000000001</v>
      </c>
      <c r="AQ334">
        <v>0.85399999999999998</v>
      </c>
      <c r="AR334">
        <v>0.26100000000000001</v>
      </c>
      <c r="AS334">
        <v>0.49099999999999999</v>
      </c>
      <c r="AT334">
        <v>1.05</v>
      </c>
      <c r="AU334">
        <v>2.11</v>
      </c>
      <c r="AV334">
        <v>2.8410000000000002</v>
      </c>
      <c r="AW334">
        <v>2.8420000000000001</v>
      </c>
      <c r="AX334">
        <v>3.1389999999999998</v>
      </c>
      <c r="AY334">
        <v>3</v>
      </c>
      <c r="AZ334">
        <v>2.972</v>
      </c>
    </row>
    <row r="335" spans="2:52">
      <c r="B335" t="s">
        <v>1240</v>
      </c>
      <c r="C335">
        <v>37744753</v>
      </c>
      <c r="D335" t="s">
        <v>384</v>
      </c>
      <c r="F335" s="1" t="s">
        <v>1241</v>
      </c>
      <c r="G335" s="1" t="s">
        <v>384</v>
      </c>
      <c r="H335" t="s">
        <v>73</v>
      </c>
      <c r="K335" t="s">
        <v>1242</v>
      </c>
      <c r="L335" s="7">
        <v>9.8059999999999992</v>
      </c>
      <c r="M335" s="8">
        <v>41340</v>
      </c>
      <c r="N335">
        <v>3</v>
      </c>
      <c r="O335" t="s">
        <v>67</v>
      </c>
      <c r="P335">
        <v>2013</v>
      </c>
      <c r="Q335">
        <v>0.46529999999999999</v>
      </c>
      <c r="R335" s="10"/>
      <c r="S335">
        <f>ROUND(ТабCЕС[[#This Row],[Зелений Тариф ЕЦ]]+ТабCЕС[[#This Row],[Зелений Тариф ЕЦ]]*ТабCЕС[[#This Row],[% надбавки]],4)</f>
        <v>0.46529999999999999</v>
      </c>
      <c r="T335" s="8"/>
      <c r="U335">
        <v>0.40500000000000003</v>
      </c>
      <c r="V335">
        <v>0.71100000000000008</v>
      </c>
      <c r="W335">
        <v>1.3169999999999997</v>
      </c>
      <c r="X335">
        <v>1.4470000000000001</v>
      </c>
      <c r="Y335">
        <v>2.0419999999999998</v>
      </c>
      <c r="Z335">
        <v>2.2860000000000005</v>
      </c>
      <c r="AA335">
        <v>2.298</v>
      </c>
      <c r="AB335">
        <v>2.109</v>
      </c>
      <c r="AC335">
        <v>1.843</v>
      </c>
      <c r="AD335">
        <v>1.0150000000000006</v>
      </c>
      <c r="AE335">
        <v>0.62100000000000044</v>
      </c>
      <c r="AF335">
        <v>0.36199999999999832</v>
      </c>
      <c r="AG335">
        <v>0.47399999999999998</v>
      </c>
      <c r="AH335">
        <v>0.61</v>
      </c>
      <c r="AI335">
        <v>1.0549999999999999</v>
      </c>
      <c r="AJ335">
        <v>2.1019999999999999</v>
      </c>
      <c r="AK335">
        <v>2.1840000000000002</v>
      </c>
      <c r="AL335">
        <v>2.1520000000000001</v>
      </c>
      <c r="AM335">
        <v>2.238</v>
      </c>
      <c r="AN335">
        <v>2.282</v>
      </c>
      <c r="AO335">
        <v>1.552</v>
      </c>
      <c r="AP335">
        <v>1.583</v>
      </c>
      <c r="AQ335">
        <v>0.58899999999999997</v>
      </c>
      <c r="AR335">
        <v>0.23400000000000001</v>
      </c>
      <c r="AS335">
        <v>0.34499999999999997</v>
      </c>
      <c r="AT335">
        <v>0.83199999999999996</v>
      </c>
      <c r="AU335">
        <v>1.8280000000000001</v>
      </c>
      <c r="AV335">
        <v>1.845</v>
      </c>
      <c r="AW335">
        <v>2.169</v>
      </c>
      <c r="AX335">
        <v>2.028</v>
      </c>
      <c r="AY335">
        <v>2.323</v>
      </c>
      <c r="AZ335">
        <v>2.145</v>
      </c>
    </row>
    <row r="336" spans="2:52">
      <c r="C336" t="s">
        <v>58</v>
      </c>
      <c r="D336" t="s">
        <v>384</v>
      </c>
      <c r="F336" s="1" t="s">
        <v>1243</v>
      </c>
      <c r="G336" s="1" t="s">
        <v>384</v>
      </c>
      <c r="H336" t="s">
        <v>172</v>
      </c>
      <c r="K336" t="s">
        <v>1244</v>
      </c>
      <c r="L336" s="7">
        <v>5.0970000000000004</v>
      </c>
      <c r="M336" s="8">
        <v>43312</v>
      </c>
      <c r="N336">
        <v>7</v>
      </c>
      <c r="O336" t="s">
        <v>60</v>
      </c>
      <c r="P336">
        <v>2018</v>
      </c>
      <c r="Q336">
        <v>0.15029999999999999</v>
      </c>
      <c r="R336" s="10">
        <v>0.05</v>
      </c>
      <c r="S336">
        <f>ROUND(ТабCЕС[[#This Row],[Зелений Тариф ЕЦ]]+ТабCЕС[[#This Row],[Зелений Тариф ЕЦ]]*ТабCЕС[[#This Row],[% надбавки]],4)</f>
        <v>0.1578</v>
      </c>
      <c r="T336" s="8">
        <v>43448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0.58899999999999997</v>
      </c>
      <c r="AP336">
        <v>0.50600000000000001</v>
      </c>
      <c r="AQ336">
        <v>0.13600000000000001</v>
      </c>
      <c r="AR336">
        <v>5.8999999999999997E-2</v>
      </c>
      <c r="AS336">
        <v>7.0999999999999994E-2</v>
      </c>
      <c r="AT336">
        <v>0.28799999999999998</v>
      </c>
      <c r="AU336">
        <v>0.48199999999999998</v>
      </c>
      <c r="AV336">
        <v>0.66600000000000004</v>
      </c>
      <c r="AW336">
        <v>0.66600000000000004</v>
      </c>
      <c r="AX336">
        <v>0.85499999999999998</v>
      </c>
      <c r="AY336">
        <v>0.80500000000000005</v>
      </c>
      <c r="AZ336">
        <v>0.77200000000000002</v>
      </c>
    </row>
    <row r="337" spans="2:52">
      <c r="C337" t="s">
        <v>58</v>
      </c>
      <c r="D337" t="s">
        <v>384</v>
      </c>
      <c r="F337" s="1" t="s">
        <v>1245</v>
      </c>
      <c r="G337" s="1" t="s">
        <v>384</v>
      </c>
      <c r="H337" t="s">
        <v>198</v>
      </c>
      <c r="K337" t="s">
        <v>1246</v>
      </c>
      <c r="L337" s="7">
        <v>1.2</v>
      </c>
      <c r="M337" s="8">
        <v>43627</v>
      </c>
      <c r="N337">
        <v>6</v>
      </c>
      <c r="O337" t="s">
        <v>57</v>
      </c>
      <c r="P337">
        <v>2019</v>
      </c>
      <c r="Q337">
        <v>0.15029999999999999</v>
      </c>
      <c r="R337" s="10"/>
      <c r="S337">
        <f>ROUND(ТабCЕС[[#This Row],[Зелений Тариф ЕЦ]]+ТабCЕС[[#This Row],[Зелений Тариф ЕЦ]]*ТабCЕС[[#This Row],[% надбавки]],4)</f>
        <v>0.15029999999999999</v>
      </c>
      <c r="T337" s="8"/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0.193</v>
      </c>
    </row>
    <row r="338" spans="2:52">
      <c r="C338" t="s">
        <v>58</v>
      </c>
      <c r="D338" t="s">
        <v>384</v>
      </c>
      <c r="F338" s="1" t="s">
        <v>1247</v>
      </c>
      <c r="G338" s="1" t="s">
        <v>1248</v>
      </c>
      <c r="H338" t="s">
        <v>107</v>
      </c>
      <c r="K338" t="s">
        <v>1249</v>
      </c>
      <c r="L338" s="7">
        <v>0.997</v>
      </c>
      <c r="M338" s="8">
        <v>43277</v>
      </c>
      <c r="N338">
        <v>6</v>
      </c>
      <c r="O338" t="s">
        <v>57</v>
      </c>
      <c r="P338">
        <v>2018</v>
      </c>
      <c r="Q338">
        <v>0.15029999999999999</v>
      </c>
      <c r="R338" s="10"/>
      <c r="S338">
        <f>ROUND(ТабCЕС[[#This Row],[Зелений Тариф ЕЦ]]+ТабCЕС[[#This Row],[Зелений Тариф ЕЦ]]*ТабCЕС[[#This Row],[% надбавки]],4)</f>
        <v>0.15029999999999999</v>
      </c>
      <c r="T338" s="8"/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0.13500000000000001</v>
      </c>
      <c r="AN338">
        <v>0.159</v>
      </c>
      <c r="AO338">
        <v>0.107</v>
      </c>
      <c r="AP338">
        <v>7.8E-2</v>
      </c>
      <c r="AQ338">
        <v>2.1000000000000001E-2</v>
      </c>
      <c r="AR338">
        <v>1E-3</v>
      </c>
      <c r="AS338">
        <v>8.0000000000000002E-3</v>
      </c>
      <c r="AT338">
        <v>4.1000000000000002E-2</v>
      </c>
      <c r="AU338">
        <v>9.0999999999999998E-2</v>
      </c>
      <c r="AV338">
        <v>0.13500000000000001</v>
      </c>
      <c r="AW338">
        <v>0.13300000000000001</v>
      </c>
      <c r="AX338">
        <v>0.16800000000000001</v>
      </c>
      <c r="AY338">
        <v>0.154</v>
      </c>
      <c r="AZ338">
        <v>0.14099999999999999</v>
      </c>
    </row>
    <row r="339" spans="2:52">
      <c r="C339" t="s">
        <v>58</v>
      </c>
      <c r="D339" t="s">
        <v>384</v>
      </c>
      <c r="F339" s="1" t="s">
        <v>1250</v>
      </c>
      <c r="G339" s="1" t="s">
        <v>384</v>
      </c>
      <c r="H339" t="s">
        <v>122</v>
      </c>
      <c r="K339" t="s">
        <v>1251</v>
      </c>
      <c r="L339" s="7">
        <v>246.154</v>
      </c>
      <c r="M339" s="8">
        <v>43524</v>
      </c>
      <c r="N339">
        <v>2</v>
      </c>
      <c r="O339" t="s">
        <v>67</v>
      </c>
      <c r="P339">
        <v>2019</v>
      </c>
      <c r="Q339">
        <v>0.15029999999999999</v>
      </c>
      <c r="R339" s="10"/>
      <c r="S339">
        <f>ROUND(ТабCЕС[[#This Row],[Зелений Тариф ЕЦ]]+ТабCЕС[[#This Row],[Зелений Тариф ЕЦ]]*ТабCЕС[[#This Row],[% надбавки]],4)</f>
        <v>0.15029999999999999</v>
      </c>
      <c r="T339" s="8"/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23.792000000000002</v>
      </c>
      <c r="AV339">
        <v>36.898000000000003</v>
      </c>
      <c r="AW339">
        <v>35.927999999999997</v>
      </c>
      <c r="AX339">
        <v>39.795000000000002</v>
      </c>
      <c r="AY339">
        <v>40.5</v>
      </c>
      <c r="AZ339">
        <v>37.128999999999998</v>
      </c>
    </row>
    <row r="340" spans="2:52">
      <c r="C340" t="s">
        <v>58</v>
      </c>
      <c r="D340" t="s">
        <v>384</v>
      </c>
      <c r="F340" s="1" t="s">
        <v>1252</v>
      </c>
      <c r="G340" s="1" t="s">
        <v>384</v>
      </c>
      <c r="H340" t="s">
        <v>198</v>
      </c>
      <c r="K340" t="s">
        <v>1253</v>
      </c>
      <c r="L340" s="7">
        <v>2.0270000000000001</v>
      </c>
      <c r="M340" s="8">
        <v>42929</v>
      </c>
      <c r="N340">
        <v>7</v>
      </c>
      <c r="O340" t="s">
        <v>60</v>
      </c>
      <c r="P340">
        <v>2017</v>
      </c>
      <c r="Q340">
        <v>0.15029999999999999</v>
      </c>
      <c r="R340" s="10"/>
      <c r="S340">
        <f>ROUND(ТабCЕС[[#This Row],[Зелений Тариф ЕЦ]]+ТабCЕС[[#This Row],[Зелений Тариф ЕЦ]]*ТабCЕС[[#This Row],[% надбавки]],4)</f>
        <v>0.15029999999999999</v>
      </c>
      <c r="T340" s="8"/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0.27300000000000002</v>
      </c>
      <c r="AC340">
        <v>0.22899999999999998</v>
      </c>
      <c r="AD340">
        <v>0.13600000000000001</v>
      </c>
      <c r="AE340">
        <v>4.9999999999999933E-2</v>
      </c>
      <c r="AF340">
        <v>3.6000000000000032E-2</v>
      </c>
      <c r="AG340">
        <v>7.4999999999999997E-2</v>
      </c>
      <c r="AH340">
        <v>8.1000000000000003E-2</v>
      </c>
      <c r="AI340">
        <v>0.17</v>
      </c>
      <c r="AJ340">
        <v>0.33300000000000002</v>
      </c>
      <c r="AK340">
        <v>0.34200000000000003</v>
      </c>
      <c r="AL340">
        <v>0.28999999999999998</v>
      </c>
      <c r="AM340">
        <v>0.29699999999999999</v>
      </c>
      <c r="AN340">
        <v>0.32500000000000001</v>
      </c>
      <c r="AO340">
        <v>0.219</v>
      </c>
      <c r="AP340">
        <v>0.20899999999999999</v>
      </c>
      <c r="AQ340">
        <v>4.9000000000000002E-2</v>
      </c>
      <c r="AR340">
        <v>2.3E-2</v>
      </c>
      <c r="AS340">
        <v>3.4000000000000002E-2</v>
      </c>
      <c r="AT340">
        <v>9.2999999999999999E-2</v>
      </c>
      <c r="AU340">
        <v>0.20799999999999999</v>
      </c>
      <c r="AV340">
        <v>0.254</v>
      </c>
      <c r="AW340">
        <v>0.26300000000000001</v>
      </c>
      <c r="AX340">
        <v>0.30499999999999999</v>
      </c>
      <c r="AY340">
        <v>0.30599999999999999</v>
      </c>
      <c r="AZ340">
        <v>0.31</v>
      </c>
    </row>
    <row r="341" spans="2:52">
      <c r="C341" t="s">
        <v>58</v>
      </c>
      <c r="D341" t="s">
        <v>384</v>
      </c>
      <c r="F341" s="1" t="s">
        <v>1254</v>
      </c>
      <c r="G341" s="1" t="s">
        <v>384</v>
      </c>
      <c r="H341" t="s">
        <v>69</v>
      </c>
      <c r="K341" t="s">
        <v>1255</v>
      </c>
      <c r="L341" s="7">
        <v>23.321000000000002</v>
      </c>
      <c r="M341" s="8">
        <v>43581</v>
      </c>
      <c r="N341">
        <v>4</v>
      </c>
      <c r="O341" t="s">
        <v>57</v>
      </c>
      <c r="P341">
        <v>2019</v>
      </c>
      <c r="Q341">
        <v>0.15029999999999999</v>
      </c>
      <c r="R341" s="10"/>
      <c r="S341">
        <f>ROUND(ТабCЕС[[#This Row],[Зелений Тариф ЕЦ]]+ТабCЕС[[#This Row],[Зелений Тариф ЕЦ]]*ТабCЕС[[#This Row],[% надбавки]],4)</f>
        <v>0.15029999999999999</v>
      </c>
      <c r="T341" s="8"/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3.9340000000000002</v>
      </c>
      <c r="AY341">
        <v>3.8809999999999998</v>
      </c>
      <c r="AZ341">
        <v>3.5409999999999999</v>
      </c>
    </row>
    <row r="342" spans="2:52">
      <c r="C342" t="s">
        <v>58</v>
      </c>
      <c r="D342" t="s">
        <v>384</v>
      </c>
      <c r="F342" s="1" t="s">
        <v>1256</v>
      </c>
      <c r="G342" s="1" t="s">
        <v>384</v>
      </c>
      <c r="H342" t="s">
        <v>1257</v>
      </c>
      <c r="K342" t="s">
        <v>1258</v>
      </c>
      <c r="L342" s="7">
        <v>0.308</v>
      </c>
      <c r="M342" s="8">
        <v>43455</v>
      </c>
      <c r="N342">
        <v>12</v>
      </c>
      <c r="O342" t="s">
        <v>71</v>
      </c>
      <c r="P342">
        <v>2018</v>
      </c>
      <c r="Q342">
        <v>0.15029999999999999</v>
      </c>
      <c r="R342" s="10"/>
      <c r="S342">
        <f>ROUND(ТабCЕС[[#This Row],[Зелений Тариф ЕЦ]]+ТабCЕС[[#This Row],[Зелений Тариф ЕЦ]]*ТабCЕС[[#This Row],[% надбавки]],4)</f>
        <v>0.15029999999999999</v>
      </c>
      <c r="T342" s="8"/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0.39800000000000002</v>
      </c>
      <c r="AX342">
        <v>0.22900000000000001</v>
      </c>
      <c r="AY342">
        <v>0.23</v>
      </c>
      <c r="AZ342">
        <v>0.221</v>
      </c>
    </row>
    <row r="343" spans="2:52">
      <c r="C343" t="s">
        <v>58</v>
      </c>
      <c r="D343" t="s">
        <v>384</v>
      </c>
      <c r="F343" s="1" t="s">
        <v>1256</v>
      </c>
      <c r="G343" s="1" t="s">
        <v>384</v>
      </c>
      <c r="H343" t="s">
        <v>1257</v>
      </c>
      <c r="K343" t="s">
        <v>1259</v>
      </c>
      <c r="L343" s="7">
        <v>1.105</v>
      </c>
      <c r="M343" s="8">
        <v>43529</v>
      </c>
      <c r="N343">
        <v>3</v>
      </c>
      <c r="O343" t="s">
        <v>67</v>
      </c>
      <c r="P343">
        <v>2019</v>
      </c>
      <c r="Q343">
        <v>0.15029999999999999</v>
      </c>
      <c r="R343" s="10"/>
      <c r="S343">
        <f>ROUND(ТабCЕС[[#This Row],[Зелений Тариф ЕЦ]]+ТабCЕС[[#This Row],[Зелений Тариф ЕЦ]]*ТабCЕС[[#This Row],[% надбавки]],4)</f>
        <v>0.15029999999999999</v>
      </c>
      <c r="T343" s="8"/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</row>
    <row r="344" spans="2:52">
      <c r="C344" t="s">
        <v>58</v>
      </c>
      <c r="D344" t="s">
        <v>384</v>
      </c>
      <c r="F344" s="1" t="s">
        <v>1260</v>
      </c>
      <c r="G344" s="1" t="s">
        <v>1261</v>
      </c>
      <c r="H344" t="s">
        <v>65</v>
      </c>
      <c r="K344" t="s">
        <v>1262</v>
      </c>
      <c r="L344" s="7">
        <v>3.18</v>
      </c>
      <c r="M344" s="8">
        <v>43613</v>
      </c>
      <c r="N344">
        <v>5</v>
      </c>
      <c r="O344" t="s">
        <v>57</v>
      </c>
      <c r="P344">
        <v>2019</v>
      </c>
      <c r="Q344">
        <v>0.15029999999999999</v>
      </c>
      <c r="R344" s="10"/>
      <c r="S344">
        <f>ROUND(ТабCЕС[[#This Row],[Зелений Тариф ЕЦ]]+ТабCЕС[[#This Row],[Зелений Тариф ЕЦ]]*ТабCЕС[[#This Row],[% надбавки]],4)</f>
        <v>0.15029999999999999</v>
      </c>
      <c r="T344" s="8"/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0.38</v>
      </c>
      <c r="AZ344">
        <v>0.47599999999999998</v>
      </c>
    </row>
    <row r="345" spans="2:52">
      <c r="B345" t="s">
        <v>1263</v>
      </c>
      <c r="C345">
        <v>40507095</v>
      </c>
      <c r="D345" t="s">
        <v>384</v>
      </c>
      <c r="F345" s="1" t="s">
        <v>1264</v>
      </c>
      <c r="G345" s="1" t="s">
        <v>384</v>
      </c>
      <c r="H345" t="s">
        <v>172</v>
      </c>
      <c r="K345" t="s">
        <v>1265</v>
      </c>
      <c r="L345" s="7">
        <v>5.5970000000000004</v>
      </c>
      <c r="M345" s="8">
        <v>42780</v>
      </c>
      <c r="N345">
        <v>2</v>
      </c>
      <c r="O345" t="s">
        <v>67</v>
      </c>
      <c r="P345">
        <v>2017</v>
      </c>
      <c r="Q345">
        <v>0.15989999999999999</v>
      </c>
      <c r="R345" s="10"/>
      <c r="S345">
        <f>ROUND(ТабCЕС[[#This Row],[Зелений Тариф ЕЦ]]+ТабCЕС[[#This Row],[Зелений Тариф ЕЦ]]*ТабCЕС[[#This Row],[% надбавки]],4)</f>
        <v>0.15989999999999999</v>
      </c>
      <c r="T345" s="8"/>
      <c r="U345">
        <v>0</v>
      </c>
      <c r="V345">
        <v>0</v>
      </c>
      <c r="W345">
        <v>0</v>
      </c>
      <c r="X345">
        <v>0</v>
      </c>
      <c r="Y345">
        <v>0.86899999999999999</v>
      </c>
      <c r="Z345">
        <v>0.93599999999999994</v>
      </c>
      <c r="AA345">
        <v>0.89500000000000024</v>
      </c>
      <c r="AB345">
        <v>0.86899999999999977</v>
      </c>
      <c r="AC345">
        <v>0.5860000000000003</v>
      </c>
      <c r="AD345">
        <v>0.31199999999999939</v>
      </c>
      <c r="AE345">
        <v>0.14700000000000024</v>
      </c>
      <c r="AF345">
        <v>7.5000000000000178E-2</v>
      </c>
      <c r="AG345">
        <v>0.13200000000000001</v>
      </c>
      <c r="AH345">
        <v>0.17399999999999999</v>
      </c>
      <c r="AI345">
        <v>0.39600000000000002</v>
      </c>
      <c r="AJ345">
        <v>0.85699999999999998</v>
      </c>
      <c r="AK345">
        <v>0.96</v>
      </c>
      <c r="AL345">
        <v>0.81699999999999995</v>
      </c>
      <c r="AM345">
        <v>0.81200000000000006</v>
      </c>
      <c r="AN345">
        <v>0.875</v>
      </c>
      <c r="AO345">
        <v>0.60599999999999998</v>
      </c>
      <c r="AP345">
        <v>0.53500000000000003</v>
      </c>
      <c r="AQ345">
        <v>0.13700000000000001</v>
      </c>
      <c r="AR345">
        <v>3.9E-2</v>
      </c>
      <c r="AS345">
        <v>3.9E-2</v>
      </c>
      <c r="AT345">
        <v>0.26800000000000002</v>
      </c>
      <c r="AU345">
        <v>0.495</v>
      </c>
      <c r="AV345">
        <v>0.752</v>
      </c>
      <c r="AW345">
        <v>0.70499999999999996</v>
      </c>
      <c r="AX345">
        <v>0.998</v>
      </c>
      <c r="AY345">
        <v>0.89100000000000001</v>
      </c>
      <c r="AZ345">
        <v>0.90200000000000002</v>
      </c>
    </row>
    <row r="346" spans="2:52">
      <c r="B346" t="s">
        <v>1266</v>
      </c>
      <c r="C346">
        <v>40507095</v>
      </c>
      <c r="D346" t="s">
        <v>384</v>
      </c>
      <c r="F346" s="1" t="s">
        <v>1264</v>
      </c>
      <c r="G346" s="1" t="s">
        <v>1267</v>
      </c>
      <c r="H346" t="s">
        <v>172</v>
      </c>
      <c r="K346" t="s">
        <v>1268</v>
      </c>
      <c r="L346" s="7">
        <v>3.992</v>
      </c>
      <c r="M346" s="8">
        <v>43277</v>
      </c>
      <c r="N346">
        <v>6</v>
      </c>
      <c r="O346" t="s">
        <v>57</v>
      </c>
      <c r="P346">
        <v>2018</v>
      </c>
      <c r="Q346">
        <v>0.15029999999999999</v>
      </c>
      <c r="R346" s="10"/>
      <c r="S346">
        <f>ROUND(ТабCЕС[[#This Row],[Зелений Тариф ЕЦ]]+ТабCЕС[[#This Row],[Зелений Тариф ЕЦ]]*ТабCЕС[[#This Row],[% надбавки]],4)</f>
        <v>0.15029999999999999</v>
      </c>
      <c r="T346" s="8"/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5.3999999999999999E-2</v>
      </c>
      <c r="AM346">
        <v>0.57499999999999996</v>
      </c>
      <c r="AN346">
        <v>0.63700000000000001</v>
      </c>
      <c r="AO346">
        <v>0.43</v>
      </c>
      <c r="AP346">
        <v>0.372</v>
      </c>
      <c r="AQ346">
        <v>9.4E-2</v>
      </c>
      <c r="AR346">
        <v>3.2000000000000001E-2</v>
      </c>
      <c r="AS346">
        <v>2.4E-2</v>
      </c>
      <c r="AT346">
        <v>0.189</v>
      </c>
      <c r="AU346">
        <v>0.35099999999999998</v>
      </c>
      <c r="AV346">
        <v>0.53200000000000003</v>
      </c>
      <c r="AW346">
        <v>0.48399999999999999</v>
      </c>
      <c r="AX346">
        <v>0.70099999999999996</v>
      </c>
      <c r="AY346">
        <v>0.626</v>
      </c>
      <c r="AZ346">
        <v>0.63700000000000001</v>
      </c>
    </row>
    <row r="347" spans="2:52">
      <c r="C347" t="s">
        <v>58</v>
      </c>
      <c r="D347" t="s">
        <v>384</v>
      </c>
      <c r="F347" s="1" t="s">
        <v>1269</v>
      </c>
      <c r="G347" s="1" t="s">
        <v>1270</v>
      </c>
      <c r="H347" t="s">
        <v>172</v>
      </c>
      <c r="K347" t="s">
        <v>1271</v>
      </c>
      <c r="L347" s="7">
        <v>11.484999999999999</v>
      </c>
      <c r="M347" s="8">
        <v>43476</v>
      </c>
      <c r="N347">
        <v>1</v>
      </c>
      <c r="O347" t="s">
        <v>67</v>
      </c>
      <c r="P347">
        <v>2019</v>
      </c>
      <c r="Q347">
        <v>0.15029999999999999</v>
      </c>
      <c r="R347" s="10"/>
      <c r="S347">
        <f>ROUND(ТабCЕС[[#This Row],[Зелений Тариф ЕЦ]]+ТабCЕС[[#This Row],[Зелений Тариф ЕЦ]]*ТабCЕС[[#This Row],[% надбавки]],4)</f>
        <v>0.15029999999999999</v>
      </c>
      <c r="T347" s="8"/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0.63300000000000001</v>
      </c>
      <c r="AU347">
        <v>1.151</v>
      </c>
      <c r="AV347">
        <v>1.544</v>
      </c>
      <c r="AW347">
        <v>1.508</v>
      </c>
      <c r="AX347">
        <v>2.0030000000000001</v>
      </c>
      <c r="AY347">
        <v>1.923</v>
      </c>
      <c r="AZ347">
        <v>1.8140000000000001</v>
      </c>
    </row>
    <row r="348" spans="2:52">
      <c r="B348" t="s">
        <v>1272</v>
      </c>
      <c r="C348">
        <v>38370298</v>
      </c>
      <c r="D348" t="s">
        <v>384</v>
      </c>
      <c r="F348" s="1" t="s">
        <v>1273</v>
      </c>
      <c r="G348" s="1" t="s">
        <v>384</v>
      </c>
      <c r="H348" t="s">
        <v>65</v>
      </c>
      <c r="K348" t="s">
        <v>1274</v>
      </c>
      <c r="L348" s="7">
        <v>2.8029999999999999</v>
      </c>
      <c r="M348" s="8">
        <v>41389</v>
      </c>
      <c r="N348">
        <v>4</v>
      </c>
      <c r="O348" t="s">
        <v>57</v>
      </c>
      <c r="P348">
        <v>2013</v>
      </c>
      <c r="Q348">
        <v>0.46529999999999999</v>
      </c>
      <c r="R348" s="10"/>
      <c r="S348">
        <f>ROUND(ТабCЕС[[#This Row],[Зелений Тариф ЕЦ]]+ТабCЕС[[#This Row],[Зелений Тариф ЕЦ]]*ТабCЕС[[#This Row],[% надбавки]],4)</f>
        <v>0.46529999999999999</v>
      </c>
      <c r="T348" s="8"/>
      <c r="U348">
        <v>9.8000000000000004E-2</v>
      </c>
      <c r="V348">
        <v>0.16800000000000001</v>
      </c>
      <c r="W348">
        <v>0.22499999999999998</v>
      </c>
      <c r="X348">
        <v>0.32000000000000006</v>
      </c>
      <c r="Y348">
        <v>0.378</v>
      </c>
      <c r="Z348">
        <v>0.43399999999999994</v>
      </c>
      <c r="AA348">
        <v>0.44699999999999984</v>
      </c>
      <c r="AB348">
        <v>0.41700000000000026</v>
      </c>
      <c r="AC348">
        <v>0.28200000000000003</v>
      </c>
      <c r="AD348">
        <v>0.21999999999999975</v>
      </c>
      <c r="AE348">
        <v>5.8000000000000274E-2</v>
      </c>
      <c r="AF348">
        <v>4.9999999999999822E-2</v>
      </c>
      <c r="AG348">
        <v>8.2000000000000003E-2</v>
      </c>
      <c r="AH348">
        <v>0.111</v>
      </c>
      <c r="AI348">
        <v>0.222</v>
      </c>
      <c r="AJ348">
        <v>0.39200000000000002</v>
      </c>
      <c r="AK348">
        <v>0.432</v>
      </c>
      <c r="AL348">
        <v>0.33300000000000002</v>
      </c>
      <c r="AM348">
        <v>0.36</v>
      </c>
      <c r="AN348">
        <v>0.39</v>
      </c>
      <c r="AO348">
        <v>0.33400000000000002</v>
      </c>
      <c r="AP348">
        <v>0.26800000000000002</v>
      </c>
      <c r="AQ348">
        <v>5.7000000000000002E-2</v>
      </c>
      <c r="AR348">
        <v>4.2999999999999997E-2</v>
      </c>
      <c r="AS348">
        <v>0.04</v>
      </c>
      <c r="AT348">
        <v>0.184</v>
      </c>
      <c r="AU348">
        <v>0.28000000000000003</v>
      </c>
      <c r="AV348">
        <v>0.30299999999999999</v>
      </c>
      <c r="AW348">
        <v>0.3</v>
      </c>
      <c r="AX348">
        <v>0.41299999999999998</v>
      </c>
      <c r="AY348">
        <v>0.40200000000000002</v>
      </c>
      <c r="AZ348">
        <v>0.38600000000000001</v>
      </c>
    </row>
    <row r="349" spans="2:52">
      <c r="C349" t="s">
        <v>58</v>
      </c>
      <c r="D349" t="s">
        <v>384</v>
      </c>
      <c r="F349" s="1" t="s">
        <v>1275</v>
      </c>
      <c r="G349" s="1" t="s">
        <v>408</v>
      </c>
      <c r="H349" t="s">
        <v>172</v>
      </c>
      <c r="K349" t="s">
        <v>1276</v>
      </c>
      <c r="L349" s="7">
        <v>1</v>
      </c>
      <c r="M349" s="8">
        <v>43333</v>
      </c>
      <c r="N349">
        <v>8</v>
      </c>
      <c r="O349" t="s">
        <v>60</v>
      </c>
      <c r="P349">
        <v>2018</v>
      </c>
      <c r="Q349">
        <v>0.15029999999999999</v>
      </c>
      <c r="R349" s="10"/>
      <c r="S349">
        <f>ROUND(ТабCЕС[[#This Row],[Зелений Тариф ЕЦ]]+ТабCЕС[[#This Row],[Зелений Тариф ЕЦ]]*ТабCЕС[[#This Row],[% надбавки]],4)</f>
        <v>0.15029999999999999</v>
      </c>
      <c r="T349" s="8"/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0.108</v>
      </c>
      <c r="AP349">
        <v>8.8999999999999996E-2</v>
      </c>
      <c r="AQ349">
        <v>2.8000000000000001E-2</v>
      </c>
      <c r="AR349">
        <v>1.0999999999999999E-2</v>
      </c>
      <c r="AS349">
        <v>2.4E-2</v>
      </c>
      <c r="AT349">
        <v>0.19800000000000001</v>
      </c>
      <c r="AU349">
        <v>0.32100000000000001</v>
      </c>
      <c r="AV349">
        <v>0.433</v>
      </c>
      <c r="AW349">
        <v>0.41</v>
      </c>
      <c r="AX349">
        <v>0.56000000000000005</v>
      </c>
      <c r="AY349">
        <v>0.52800000000000002</v>
      </c>
      <c r="AZ349">
        <v>0.52500000000000002</v>
      </c>
    </row>
    <row r="350" spans="2:52">
      <c r="C350" t="s">
        <v>58</v>
      </c>
      <c r="D350" t="s">
        <v>384</v>
      </c>
      <c r="F350" s="1" t="s">
        <v>1275</v>
      </c>
      <c r="G350" s="1" t="s">
        <v>410</v>
      </c>
      <c r="H350" t="s">
        <v>172</v>
      </c>
      <c r="K350" t="s">
        <v>1277</v>
      </c>
      <c r="L350" s="7">
        <v>2.3079999999999998</v>
      </c>
      <c r="M350" s="8">
        <v>43494</v>
      </c>
      <c r="N350">
        <v>1</v>
      </c>
      <c r="O350" t="s">
        <v>67</v>
      </c>
      <c r="P350">
        <v>2019</v>
      </c>
      <c r="Q350">
        <v>0.15029999999999999</v>
      </c>
      <c r="R350" s="10"/>
      <c r="S350">
        <f>ROUND(ТабCЕС[[#This Row],[Зелений Тариф ЕЦ]]+ТабCЕС[[#This Row],[Зелений Тариф ЕЦ]]*ТабCЕС[[#This Row],[% надбавки]],4)</f>
        <v>0.15029999999999999</v>
      </c>
      <c r="T350" s="8"/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</row>
    <row r="351" spans="2:52">
      <c r="B351" t="s">
        <v>1278</v>
      </c>
      <c r="C351">
        <v>37784089</v>
      </c>
      <c r="D351" t="s">
        <v>384</v>
      </c>
      <c r="F351" s="1" t="s">
        <v>1279</v>
      </c>
      <c r="G351" s="1" t="s">
        <v>1280</v>
      </c>
      <c r="H351" t="s">
        <v>233</v>
      </c>
      <c r="I351" t="s">
        <v>289</v>
      </c>
      <c r="J351" t="s">
        <v>1281</v>
      </c>
      <c r="K351" t="s">
        <v>1281</v>
      </c>
      <c r="L351" s="7">
        <v>5.407</v>
      </c>
      <c r="M351" s="8">
        <v>41137</v>
      </c>
      <c r="N351">
        <v>8</v>
      </c>
      <c r="O351" t="s">
        <v>60</v>
      </c>
      <c r="P351">
        <v>2012</v>
      </c>
      <c r="Q351">
        <v>0.46529999999999999</v>
      </c>
      <c r="R351" s="10"/>
      <c r="S351">
        <f>ROUND(ТабCЕС[[#This Row],[Зелений Тариф ЕЦ]]+ТабCЕС[[#This Row],[Зелений Тариф ЕЦ]]*ТабCЕС[[#This Row],[% надбавки]],4)</f>
        <v>0.46529999999999999</v>
      </c>
      <c r="T351" s="8"/>
      <c r="U351">
        <v>0.20699999999999999</v>
      </c>
      <c r="V351">
        <v>0.214</v>
      </c>
      <c r="W351">
        <v>0.56899999999999995</v>
      </c>
      <c r="X351">
        <v>0.57099999999999995</v>
      </c>
      <c r="Y351">
        <v>0.82200000000000006</v>
      </c>
      <c r="Z351">
        <v>0.79400000000000004</v>
      </c>
      <c r="AA351">
        <v>0.81499999999999995</v>
      </c>
      <c r="AB351">
        <v>0.8019999999999996</v>
      </c>
      <c r="AC351">
        <v>0.54</v>
      </c>
      <c r="AD351">
        <v>0.4220000000000006</v>
      </c>
      <c r="AE351">
        <v>0.22100000000000009</v>
      </c>
      <c r="AF351">
        <v>6.7999999999999616E-2</v>
      </c>
      <c r="AG351">
        <v>0.17299999999999999</v>
      </c>
      <c r="AH351">
        <v>0.27200000000000002</v>
      </c>
      <c r="AI351">
        <v>0.38100000000000001</v>
      </c>
      <c r="AJ351">
        <v>0.71499999999999997</v>
      </c>
      <c r="AK351">
        <v>0.82099999999999995</v>
      </c>
      <c r="AL351">
        <v>0.70899999999999996</v>
      </c>
      <c r="AM351">
        <v>0.753</v>
      </c>
      <c r="AN351">
        <v>0.75800000000000001</v>
      </c>
      <c r="AO351">
        <v>0.63700000000000001</v>
      </c>
      <c r="AP351">
        <v>0.47599999999999998</v>
      </c>
      <c r="AQ351">
        <v>0.251</v>
      </c>
      <c r="AR351">
        <v>7.3999999999999996E-2</v>
      </c>
      <c r="AS351">
        <v>0.152</v>
      </c>
      <c r="AT351">
        <v>0.36799999999999999</v>
      </c>
      <c r="AU351">
        <v>0.60599999999999998</v>
      </c>
      <c r="AV351">
        <v>0.71099999999999997</v>
      </c>
      <c r="AW351">
        <v>0.59799999999999998</v>
      </c>
      <c r="AX351">
        <v>0.78800000000000003</v>
      </c>
      <c r="AY351">
        <v>0.78200000000000003</v>
      </c>
      <c r="AZ351">
        <v>0.72099999999999997</v>
      </c>
    </row>
    <row r="352" spans="2:52">
      <c r="B352" t="s">
        <v>1282</v>
      </c>
      <c r="C352">
        <v>37784089</v>
      </c>
      <c r="D352" t="s">
        <v>384</v>
      </c>
      <c r="F352" s="1" t="s">
        <v>1279</v>
      </c>
      <c r="G352" s="1" t="s">
        <v>1283</v>
      </c>
      <c r="H352" t="s">
        <v>233</v>
      </c>
      <c r="I352" t="s">
        <v>289</v>
      </c>
      <c r="J352" t="s">
        <v>1284</v>
      </c>
      <c r="K352" t="s">
        <v>1284</v>
      </c>
      <c r="L352" s="7">
        <v>9.9930000000000003</v>
      </c>
      <c r="M352" s="8">
        <v>41438</v>
      </c>
      <c r="N352">
        <v>6</v>
      </c>
      <c r="O352" t="s">
        <v>57</v>
      </c>
      <c r="P352">
        <v>2013</v>
      </c>
      <c r="Q352">
        <v>0.33929999999999999</v>
      </c>
      <c r="R352" s="10"/>
      <c r="S352">
        <f>ROUND(ТабCЕС[[#This Row],[Зелений Тариф ЕЦ]]+ТабCЕС[[#This Row],[Зелений Тариф ЕЦ]]*ТабCЕС[[#This Row],[% надбавки]],4)</f>
        <v>0.33929999999999999</v>
      </c>
      <c r="T352" s="8"/>
      <c r="U352">
        <v>0.16300000000000001</v>
      </c>
      <c r="V352">
        <v>0.39500000000000002</v>
      </c>
      <c r="W352">
        <v>1.0529999999999999</v>
      </c>
      <c r="X352">
        <v>1.075</v>
      </c>
      <c r="Y352">
        <v>1.5350000000000001</v>
      </c>
      <c r="Z352">
        <v>1.5309999999999997</v>
      </c>
      <c r="AA352">
        <v>1.6070000000000002</v>
      </c>
      <c r="AB352">
        <v>1.6029999999999998</v>
      </c>
      <c r="AC352">
        <v>1.0359999999999996</v>
      </c>
      <c r="AD352">
        <v>0.82800000000000118</v>
      </c>
      <c r="AE352">
        <v>0.39100000000000001</v>
      </c>
      <c r="AF352">
        <v>9.6000000000000085E-2</v>
      </c>
      <c r="AG352">
        <v>0.28699999999999998</v>
      </c>
      <c r="AH352">
        <v>0.51</v>
      </c>
      <c r="AI352">
        <v>0.75</v>
      </c>
      <c r="AJ352">
        <v>1.41</v>
      </c>
      <c r="AK352">
        <v>1.5940000000000001</v>
      </c>
      <c r="AL352">
        <v>1.399</v>
      </c>
      <c r="AM352">
        <v>1.4790000000000001</v>
      </c>
      <c r="AN352">
        <v>1.597</v>
      </c>
      <c r="AO352">
        <v>1.292</v>
      </c>
      <c r="AP352">
        <v>0.96399999999999997</v>
      </c>
      <c r="AQ352">
        <v>0.53600000000000003</v>
      </c>
      <c r="AR352">
        <v>0.126</v>
      </c>
      <c r="AS352">
        <v>2.1999999999999999E-2</v>
      </c>
      <c r="AT352">
        <v>0.68500000000000005</v>
      </c>
      <c r="AU352">
        <v>1.131</v>
      </c>
      <c r="AV352">
        <v>1.383</v>
      </c>
      <c r="AW352">
        <v>1.08</v>
      </c>
      <c r="AX352">
        <v>1.6539999999999999</v>
      </c>
      <c r="AY352">
        <v>1.5449999999999999</v>
      </c>
      <c r="AZ352">
        <v>1.5269999999999999</v>
      </c>
    </row>
    <row r="353" spans="2:52">
      <c r="B353" t="s">
        <v>1285</v>
      </c>
      <c r="C353">
        <v>37799781</v>
      </c>
      <c r="D353" t="s">
        <v>384</v>
      </c>
      <c r="F353" s="1" t="s">
        <v>1286</v>
      </c>
      <c r="G353" s="1" t="s">
        <v>384</v>
      </c>
      <c r="H353" t="s">
        <v>69</v>
      </c>
      <c r="K353" t="s">
        <v>1287</v>
      </c>
      <c r="L353" s="7">
        <v>1.1519999999999999</v>
      </c>
      <c r="M353" s="8">
        <v>41655</v>
      </c>
      <c r="N353">
        <v>1</v>
      </c>
      <c r="O353" t="s">
        <v>67</v>
      </c>
      <c r="P353">
        <v>2014</v>
      </c>
      <c r="Q353">
        <v>0.33929999999999999</v>
      </c>
      <c r="R353" s="10"/>
      <c r="S353">
        <f>ROUND(ТабCЕС[[#This Row],[Зелений Тариф ЕЦ]]+ТабCЕС[[#This Row],[Зелений Тариф ЕЦ]]*ТабCЕС[[#This Row],[% надбавки]],4)</f>
        <v>0.33929999999999999</v>
      </c>
      <c r="T353" s="8"/>
      <c r="U353">
        <v>3.9E-2</v>
      </c>
      <c r="V353">
        <v>6.3E-2</v>
      </c>
      <c r="W353">
        <v>0.12100000000000001</v>
      </c>
      <c r="X353">
        <v>0.13599999999999998</v>
      </c>
      <c r="Y353">
        <v>0.18400000000000005</v>
      </c>
      <c r="Z353">
        <v>0.17599999999999993</v>
      </c>
      <c r="AA353">
        <v>0.17000000000000004</v>
      </c>
      <c r="AB353">
        <v>0.16500000000000004</v>
      </c>
      <c r="AC353">
        <v>0.15300000000000002</v>
      </c>
      <c r="AD353">
        <v>6.3999999999999835E-2</v>
      </c>
      <c r="AE353">
        <v>1.7000000000000126E-2</v>
      </c>
      <c r="AF353">
        <v>1.4000000000000012E-2</v>
      </c>
      <c r="AG353">
        <v>2.5000000000000001E-2</v>
      </c>
      <c r="AH353">
        <v>4.8000000000000001E-2</v>
      </c>
      <c r="AI353">
        <v>9.7000000000000003E-2</v>
      </c>
      <c r="AJ353">
        <v>0.16800000000000001</v>
      </c>
      <c r="AK353">
        <v>0.187</v>
      </c>
      <c r="AL353">
        <v>0.189</v>
      </c>
      <c r="AM353">
        <v>0.16700000000000001</v>
      </c>
      <c r="AN353">
        <v>0.19700000000000001</v>
      </c>
      <c r="AO353">
        <v>0.121</v>
      </c>
      <c r="AP353">
        <v>0.123</v>
      </c>
      <c r="AQ353">
        <v>4.2999999999999997E-2</v>
      </c>
      <c r="AR353">
        <v>6.0000000000000001E-3</v>
      </c>
      <c r="AS353">
        <v>2.5999999999999999E-2</v>
      </c>
      <c r="AT353">
        <v>5.0999999999999997E-2</v>
      </c>
      <c r="AU353">
        <v>0.11899999999999999</v>
      </c>
      <c r="AV353">
        <v>0.16300000000000001</v>
      </c>
      <c r="AW353">
        <v>0.16900000000000001</v>
      </c>
      <c r="AX353">
        <v>0.186</v>
      </c>
      <c r="AY353">
        <v>0.185</v>
      </c>
      <c r="AZ353">
        <v>0.16300000000000001</v>
      </c>
    </row>
    <row r="354" spans="2:52">
      <c r="B354" t="s">
        <v>1288</v>
      </c>
      <c r="C354">
        <v>37799781</v>
      </c>
      <c r="D354" t="s">
        <v>384</v>
      </c>
      <c r="F354" s="1" t="s">
        <v>1286</v>
      </c>
      <c r="G354" s="1" t="s">
        <v>384</v>
      </c>
      <c r="H354" t="s">
        <v>69</v>
      </c>
      <c r="K354" t="s">
        <v>1289</v>
      </c>
      <c r="L354" s="7">
        <v>2.3319999999999999</v>
      </c>
      <c r="M354" s="8">
        <v>43382</v>
      </c>
      <c r="N354">
        <v>10</v>
      </c>
      <c r="O354" t="s">
        <v>71</v>
      </c>
      <c r="P354">
        <v>2018</v>
      </c>
      <c r="Q354">
        <v>0.15029999999999999</v>
      </c>
      <c r="R354" s="10"/>
      <c r="S354">
        <f>ROUND(ТабCЕС[[#This Row],[Зелений Тариф ЕЦ]]+ТабCЕС[[#This Row],[Зелений Тариф ЕЦ]]*ТабCЕС[[#This Row],[% надбавки]],4)</f>
        <v>0.15029999999999999</v>
      </c>
      <c r="T354" s="8"/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6.3E-2</v>
      </c>
      <c r="AT354">
        <v>0.111</v>
      </c>
      <c r="AU354">
        <v>0.253</v>
      </c>
      <c r="AV354">
        <v>0.34899999999999998</v>
      </c>
      <c r="AW354">
        <v>0.36899999999999999</v>
      </c>
      <c r="AX354">
        <v>0.41099999999999998</v>
      </c>
      <c r="AY354">
        <v>0.40899999999999997</v>
      </c>
      <c r="AZ354">
        <v>0.35199999999999998</v>
      </c>
    </row>
    <row r="355" spans="2:52">
      <c r="B355" t="s">
        <v>1290</v>
      </c>
      <c r="C355">
        <v>38254103</v>
      </c>
      <c r="D355" t="s">
        <v>384</v>
      </c>
      <c r="F355" s="1" t="s">
        <v>1291</v>
      </c>
      <c r="G355" s="1" t="s">
        <v>384</v>
      </c>
      <c r="H355" t="s">
        <v>198</v>
      </c>
      <c r="K355" t="s">
        <v>1292</v>
      </c>
      <c r="L355" s="7">
        <v>9.8170000000000002</v>
      </c>
      <c r="M355" s="8">
        <v>42759</v>
      </c>
      <c r="N355">
        <v>1</v>
      </c>
      <c r="O355" t="s">
        <v>67</v>
      </c>
      <c r="P355">
        <v>2017</v>
      </c>
      <c r="Q355">
        <v>0.15989999999999999</v>
      </c>
      <c r="R355" s="10">
        <v>0.05</v>
      </c>
      <c r="S355">
        <f>ROUND(ТабCЕС[[#This Row],[Зелений Тариф ЕЦ]]+ТабCЕС[[#This Row],[Зелений Тариф ЕЦ]]*ТабCЕС[[#This Row],[% надбавки]],4)</f>
        <v>0.16789999999999999</v>
      </c>
      <c r="T355" s="8">
        <v>43263</v>
      </c>
      <c r="U355">
        <v>0</v>
      </c>
      <c r="V355">
        <v>0.51600000000000001</v>
      </c>
      <c r="W355">
        <v>0.94399999999999995</v>
      </c>
      <c r="X355">
        <v>1.3679999999999999</v>
      </c>
      <c r="Y355">
        <v>1.5020000000000002</v>
      </c>
      <c r="Z355">
        <v>1.6539999999999999</v>
      </c>
      <c r="AA355">
        <v>1.5730000000000004</v>
      </c>
      <c r="AB355">
        <v>1.4789999999999992</v>
      </c>
      <c r="AC355">
        <v>1.0700000000000003</v>
      </c>
      <c r="AD355">
        <v>0.53299999999999947</v>
      </c>
      <c r="AE355">
        <v>0.23399999999999999</v>
      </c>
      <c r="AF355">
        <v>0.14300000000000068</v>
      </c>
      <c r="AG355">
        <v>0.23699999999999999</v>
      </c>
      <c r="AH355">
        <v>0.376</v>
      </c>
      <c r="AI355">
        <v>0.76600000000000001</v>
      </c>
      <c r="AJ355">
        <v>1.538</v>
      </c>
      <c r="AK355">
        <v>1.67</v>
      </c>
      <c r="AL355">
        <v>1.448</v>
      </c>
      <c r="AM355">
        <v>1.381</v>
      </c>
      <c r="AN355">
        <v>1.619</v>
      </c>
      <c r="AO355">
        <v>0.98799999999999999</v>
      </c>
      <c r="AP355">
        <v>0.93600000000000005</v>
      </c>
      <c r="AQ355">
        <v>0.22</v>
      </c>
      <c r="AR355">
        <v>9.4E-2</v>
      </c>
      <c r="AS355">
        <v>6.0999999999999999E-2</v>
      </c>
      <c r="AT355">
        <v>0.38900000000000001</v>
      </c>
      <c r="AU355">
        <v>0.89</v>
      </c>
      <c r="AV355">
        <v>1.2909999999999999</v>
      </c>
      <c r="AW355">
        <v>1.282</v>
      </c>
      <c r="AX355">
        <v>1.66</v>
      </c>
      <c r="AY355">
        <v>0.81200000000000006</v>
      </c>
      <c r="AZ355">
        <v>1.5009999999999999</v>
      </c>
    </row>
    <row r="356" spans="2:52">
      <c r="C356" t="s">
        <v>58</v>
      </c>
      <c r="D356" t="s">
        <v>384</v>
      </c>
      <c r="F356" s="1" t="s">
        <v>1293</v>
      </c>
      <c r="G356" s="1" t="s">
        <v>384</v>
      </c>
      <c r="H356" t="s">
        <v>69</v>
      </c>
      <c r="K356" t="s">
        <v>1294</v>
      </c>
      <c r="L356" s="7">
        <v>9.9890000000000008</v>
      </c>
      <c r="M356" s="8">
        <v>43627</v>
      </c>
      <c r="N356">
        <v>6</v>
      </c>
      <c r="O356" t="s">
        <v>57</v>
      </c>
      <c r="P356">
        <v>2019</v>
      </c>
      <c r="Q356">
        <v>0.15029999999999999</v>
      </c>
      <c r="R356" s="10"/>
      <c r="S356">
        <f>ROUND(ТабCЕС[[#This Row],[Зелений Тариф ЕЦ]]+ТабCЕС[[#This Row],[Зелений Тариф ЕЦ]]*ТабCЕС[[#This Row],[% надбавки]],4)</f>
        <v>0.15029999999999999</v>
      </c>
      <c r="T356" s="8"/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0.11700000000000001</v>
      </c>
    </row>
    <row r="357" spans="2:52">
      <c r="C357" t="s">
        <v>58</v>
      </c>
      <c r="D357" t="s">
        <v>384</v>
      </c>
      <c r="F357" s="1" t="s">
        <v>1295</v>
      </c>
      <c r="G357" s="1" t="s">
        <v>1296</v>
      </c>
      <c r="H357" t="s">
        <v>82</v>
      </c>
      <c r="K357" t="s">
        <v>1297</v>
      </c>
      <c r="L357" s="7">
        <v>16.902999999999999</v>
      </c>
      <c r="M357" s="8">
        <v>43494</v>
      </c>
      <c r="N357">
        <v>1</v>
      </c>
      <c r="O357" t="s">
        <v>67</v>
      </c>
      <c r="P357">
        <v>2019</v>
      </c>
      <c r="Q357">
        <v>0.15029999999999999</v>
      </c>
      <c r="R357" s="10">
        <v>0.05</v>
      </c>
      <c r="S357">
        <f>ROUND(ТабCЕС[[#This Row],[Зелений Тариф ЕЦ]]+ТабCЕС[[#This Row],[Зелений Тариф ЕЦ]]*ТабCЕС[[#This Row],[% надбавки]],4)</f>
        <v>0.1578</v>
      </c>
      <c r="T357" s="8">
        <v>43550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0.47799999999999998</v>
      </c>
      <c r="AU357">
        <v>2.0019999999999998</v>
      </c>
      <c r="AV357">
        <v>2.274</v>
      </c>
      <c r="AW357">
        <v>2.3620000000000001</v>
      </c>
      <c r="AX357">
        <v>2.67</v>
      </c>
      <c r="AY357">
        <v>2.3340000000000001</v>
      </c>
      <c r="AZ357">
        <v>2.7170000000000001</v>
      </c>
    </row>
    <row r="358" spans="2:52">
      <c r="B358" t="s">
        <v>1298</v>
      </c>
      <c r="C358">
        <v>37840258</v>
      </c>
      <c r="D358" t="s">
        <v>384</v>
      </c>
      <c r="F358" s="1" t="s">
        <v>1299</v>
      </c>
      <c r="G358" s="1" t="s">
        <v>1300</v>
      </c>
      <c r="H358" t="s">
        <v>73</v>
      </c>
      <c r="I358" t="s">
        <v>1301</v>
      </c>
      <c r="J358" t="s">
        <v>1302</v>
      </c>
      <c r="K358" t="s">
        <v>1302</v>
      </c>
      <c r="L358" s="7">
        <v>1.0069999999999999</v>
      </c>
      <c r="M358" s="8">
        <v>41501</v>
      </c>
      <c r="N358">
        <v>8</v>
      </c>
      <c r="O358" t="s">
        <v>60</v>
      </c>
      <c r="P358">
        <v>2013</v>
      </c>
      <c r="Q358">
        <v>0.33929999999999999</v>
      </c>
      <c r="R358" s="10"/>
      <c r="S358">
        <f>ROUND(ТабCЕС[[#This Row],[Зелений Тариф ЕЦ]]+ТабCЕС[[#This Row],[Зелений Тариф ЕЦ]]*ТабCЕС[[#This Row],[% надбавки]],4)</f>
        <v>0.33929999999999999</v>
      </c>
      <c r="T358" s="8"/>
      <c r="U358">
        <v>4.8000000000000001E-2</v>
      </c>
      <c r="V358">
        <v>5.3000000000000005E-2</v>
      </c>
      <c r="W358">
        <v>0.11099999999999999</v>
      </c>
      <c r="X358">
        <v>0.10400000000000001</v>
      </c>
      <c r="Y358">
        <v>0.14700000000000002</v>
      </c>
      <c r="Z358">
        <v>0.15199999999999997</v>
      </c>
      <c r="AA358">
        <v>0.14300000000000002</v>
      </c>
      <c r="AB358">
        <v>0.13700000000000001</v>
      </c>
      <c r="AC358">
        <v>0.11999999999999988</v>
      </c>
      <c r="AD358">
        <v>6.5000000000000169E-2</v>
      </c>
      <c r="AE358">
        <v>3.6999999999999922E-2</v>
      </c>
      <c r="AF358">
        <v>2.4999999999999911E-2</v>
      </c>
      <c r="AG358">
        <v>3.4000000000000002E-2</v>
      </c>
      <c r="AH358">
        <v>0.04</v>
      </c>
      <c r="AI358">
        <v>7.0999999999999994E-2</v>
      </c>
      <c r="AJ358">
        <v>0.13600000000000001</v>
      </c>
      <c r="AK358">
        <v>0.152</v>
      </c>
      <c r="AL358">
        <v>0.14899999999999999</v>
      </c>
      <c r="AM358">
        <v>0.14299999999999999</v>
      </c>
      <c r="AN358">
        <v>0.159</v>
      </c>
      <c r="AO358">
        <v>0.115</v>
      </c>
      <c r="AP358">
        <v>0.11899999999999999</v>
      </c>
      <c r="AQ358">
        <v>4.3999999999999997E-2</v>
      </c>
      <c r="AR358">
        <v>1.9E-2</v>
      </c>
      <c r="AS358">
        <v>2.5000000000000001E-2</v>
      </c>
      <c r="AT358">
        <v>5.5E-2</v>
      </c>
      <c r="AU358">
        <v>0.122</v>
      </c>
      <c r="AV358">
        <v>0.13100000000000001</v>
      </c>
      <c r="AW358">
        <v>0.14099999999999999</v>
      </c>
      <c r="AX358">
        <v>0.13800000000000001</v>
      </c>
      <c r="AY358">
        <v>0.14599999999999999</v>
      </c>
      <c r="AZ358">
        <v>0.13900000000000001</v>
      </c>
    </row>
    <row r="359" spans="2:52">
      <c r="C359" t="s">
        <v>58</v>
      </c>
      <c r="D359" t="s">
        <v>384</v>
      </c>
      <c r="F359" s="1" t="s">
        <v>1303</v>
      </c>
      <c r="G359" s="1" t="s">
        <v>1304</v>
      </c>
      <c r="H359" t="s">
        <v>73</v>
      </c>
      <c r="K359" t="s">
        <v>1305</v>
      </c>
      <c r="L359" s="7">
        <v>8.56</v>
      </c>
      <c r="M359" s="8">
        <v>43333</v>
      </c>
      <c r="N359">
        <v>8</v>
      </c>
      <c r="O359" t="s">
        <v>60</v>
      </c>
      <c r="P359">
        <v>2018</v>
      </c>
      <c r="Q359">
        <v>0.15029999999999999</v>
      </c>
      <c r="R359" s="10"/>
      <c r="S359">
        <f>ROUND(ТабCЕС[[#This Row],[Зелений Тариф ЕЦ]]+ТабCЕС[[#This Row],[Зелений Тариф ЕЦ]]*ТабCЕС[[#This Row],[% надбавки]],4)</f>
        <v>0.15029999999999999</v>
      </c>
      <c r="T359" s="8"/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1.0249999999999999</v>
      </c>
      <c r="AP359">
        <v>1.083</v>
      </c>
      <c r="AQ359">
        <v>0.38</v>
      </c>
      <c r="AR359">
        <v>0.16300000000000001</v>
      </c>
      <c r="AS359">
        <v>0.20200000000000001</v>
      </c>
      <c r="AT359">
        <v>0.41899999999999998</v>
      </c>
      <c r="AU359">
        <v>1.0840000000000001</v>
      </c>
      <c r="AV359">
        <v>1.3340000000000001</v>
      </c>
      <c r="AW359">
        <v>1.28</v>
      </c>
      <c r="AX359">
        <v>1.4059999999999999</v>
      </c>
      <c r="AY359">
        <v>1.462</v>
      </c>
      <c r="AZ359">
        <v>1.4079999999999999</v>
      </c>
    </row>
    <row r="360" spans="2:52">
      <c r="C360" t="s">
        <v>58</v>
      </c>
      <c r="D360" t="s">
        <v>384</v>
      </c>
      <c r="F360" s="1" t="s">
        <v>1306</v>
      </c>
      <c r="G360" s="1" t="s">
        <v>1307</v>
      </c>
      <c r="H360" t="s">
        <v>73</v>
      </c>
      <c r="K360" t="s">
        <v>1308</v>
      </c>
      <c r="L360" s="7">
        <v>8.2029999999999994</v>
      </c>
      <c r="M360" s="8">
        <v>43111</v>
      </c>
      <c r="N360">
        <v>1</v>
      </c>
      <c r="O360" t="s">
        <v>67</v>
      </c>
      <c r="P360">
        <v>2018</v>
      </c>
      <c r="Q360">
        <v>0.15029999999999999</v>
      </c>
      <c r="R360" s="10"/>
      <c r="S360">
        <f>ROUND(ТабCЕС[[#This Row],[Зелений Тариф ЕЦ]]+ТабCЕС[[#This Row],[Зелений Тариф ЕЦ]]*ТабCЕС[[#This Row],[% надбавки]],4)</f>
        <v>0.15029999999999999</v>
      </c>
      <c r="T360" s="8"/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0.34499999999999997</v>
      </c>
      <c r="AI360">
        <v>0.66100000000000003</v>
      </c>
      <c r="AJ360">
        <v>1.2909999999999999</v>
      </c>
      <c r="AK360">
        <v>1.444</v>
      </c>
      <c r="AL360">
        <v>1.377</v>
      </c>
      <c r="AM360">
        <v>1.3109999999999999</v>
      </c>
      <c r="AN360">
        <v>1.448</v>
      </c>
      <c r="AO360">
        <v>0.97899999999999998</v>
      </c>
      <c r="AP360">
        <v>1.03</v>
      </c>
      <c r="AQ360">
        <v>0.36199999999999999</v>
      </c>
      <c r="AR360">
        <v>0.153</v>
      </c>
      <c r="AS360">
        <v>0.189</v>
      </c>
      <c r="AT360">
        <v>0.41499999999999998</v>
      </c>
      <c r="AU360">
        <v>1.028</v>
      </c>
      <c r="AV360">
        <v>1.2729999999999999</v>
      </c>
      <c r="AW360">
        <v>1.228</v>
      </c>
      <c r="AX360">
        <v>1.2849999999999999</v>
      </c>
      <c r="AY360">
        <v>1.41</v>
      </c>
      <c r="AZ360">
        <v>1.367</v>
      </c>
    </row>
    <row r="361" spans="2:52">
      <c r="C361" t="s">
        <v>58</v>
      </c>
      <c r="D361" t="s">
        <v>384</v>
      </c>
      <c r="F361" s="1" t="s">
        <v>1309</v>
      </c>
      <c r="G361" s="1" t="s">
        <v>1310</v>
      </c>
      <c r="H361" t="s">
        <v>73</v>
      </c>
      <c r="K361" t="s">
        <v>1311</v>
      </c>
      <c r="L361" s="7">
        <v>5.8559999999999999</v>
      </c>
      <c r="M361" s="8">
        <v>43643</v>
      </c>
      <c r="N361">
        <v>6</v>
      </c>
      <c r="O361" t="s">
        <v>57</v>
      </c>
      <c r="P361">
        <v>2019</v>
      </c>
      <c r="Q361">
        <v>0.15029999999999999</v>
      </c>
      <c r="R361" s="10"/>
      <c r="S361">
        <f>ROUND(ТабCЕС[[#This Row],[Зелений Тариф ЕЦ]]+ТабCЕС[[#This Row],[Зелений Тариф ЕЦ]]*ТабCЕС[[#This Row],[% надбавки]],4)</f>
        <v>0.15029999999999999</v>
      </c>
      <c r="T361" s="8"/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0.61099999999999999</v>
      </c>
      <c r="AZ361">
        <v>0.99</v>
      </c>
    </row>
    <row r="362" spans="2:52">
      <c r="C362" t="s">
        <v>58</v>
      </c>
      <c r="D362" t="s">
        <v>384</v>
      </c>
      <c r="F362" s="1" t="s">
        <v>1312</v>
      </c>
      <c r="G362" s="1" t="s">
        <v>1313</v>
      </c>
      <c r="H362" t="s">
        <v>82</v>
      </c>
      <c r="K362" t="s">
        <v>1314</v>
      </c>
      <c r="L362" s="7">
        <v>12.994999999999999</v>
      </c>
      <c r="M362" s="8">
        <v>43613</v>
      </c>
      <c r="N362">
        <v>5</v>
      </c>
      <c r="O362" t="s">
        <v>57</v>
      </c>
      <c r="P362">
        <v>2019</v>
      </c>
      <c r="Q362">
        <v>0.15029999999999999</v>
      </c>
      <c r="R362" s="10">
        <v>0.05</v>
      </c>
      <c r="S362">
        <f>ROUND(ТабCЕС[[#This Row],[Зелений Тариф ЕЦ]]+ТабCЕС[[#This Row],[Зелений Тариф ЕЦ]]*ТабCЕС[[#This Row],[% надбавки]],4)</f>
        <v>0.1578</v>
      </c>
      <c r="T362" s="8">
        <v>43671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1.125</v>
      </c>
      <c r="AZ362">
        <v>2.1160000000000001</v>
      </c>
    </row>
    <row r="363" spans="2:52">
      <c r="C363" t="s">
        <v>58</v>
      </c>
      <c r="D363" t="s">
        <v>384</v>
      </c>
      <c r="F363" s="1" t="s">
        <v>1315</v>
      </c>
      <c r="G363" s="1" t="s">
        <v>384</v>
      </c>
      <c r="H363" t="s">
        <v>101</v>
      </c>
      <c r="K363" t="s">
        <v>1316</v>
      </c>
      <c r="L363" s="7">
        <v>1.1339999999999999</v>
      </c>
      <c r="M363" s="8">
        <v>42766</v>
      </c>
      <c r="N363">
        <v>1</v>
      </c>
      <c r="O363" t="s">
        <v>67</v>
      </c>
      <c r="P363">
        <v>2017</v>
      </c>
      <c r="Q363">
        <v>0.15989999999999999</v>
      </c>
      <c r="R363" s="10"/>
      <c r="S363">
        <f>ROUND(ТабCЕС[[#This Row],[Зелений Тариф ЕЦ]]+ТабCЕС[[#This Row],[Зелений Тариф ЕЦ]]*ТабCЕС[[#This Row],[% надбавки]],4)</f>
        <v>0.15989999999999999</v>
      </c>
      <c r="T363" s="8"/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0.09</v>
      </c>
      <c r="AM363">
        <v>0.158</v>
      </c>
      <c r="AN363">
        <v>0.19500000000000001</v>
      </c>
      <c r="AO363">
        <v>0.151</v>
      </c>
      <c r="AP363">
        <v>0.13700000000000001</v>
      </c>
      <c r="AQ363">
        <v>3.6999999999999998E-2</v>
      </c>
      <c r="AR363">
        <v>4.2999999999999997E-2</v>
      </c>
      <c r="AS363">
        <v>4.9000000000000002E-2</v>
      </c>
      <c r="AT363">
        <v>6.8000000000000005E-2</v>
      </c>
      <c r="AU363">
        <v>0.16600000000000001</v>
      </c>
      <c r="AV363">
        <v>0.14799999999999999</v>
      </c>
      <c r="AW363">
        <v>0.17699999999999999</v>
      </c>
      <c r="AX363">
        <v>0.17499999999999999</v>
      </c>
      <c r="AY363">
        <v>0.121</v>
      </c>
      <c r="AZ363">
        <v>0.19600000000000001</v>
      </c>
    </row>
    <row r="364" spans="2:52">
      <c r="C364" t="s">
        <v>58</v>
      </c>
      <c r="D364" t="s">
        <v>384</v>
      </c>
      <c r="F364" s="1" t="s">
        <v>1317</v>
      </c>
      <c r="G364" s="1" t="s">
        <v>1318</v>
      </c>
      <c r="H364" t="s">
        <v>101</v>
      </c>
      <c r="K364" t="s">
        <v>1319</v>
      </c>
      <c r="L364" s="7">
        <v>4.2759999999999998</v>
      </c>
      <c r="M364" s="8">
        <v>43144</v>
      </c>
      <c r="N364">
        <v>2</v>
      </c>
      <c r="O364" t="s">
        <v>67</v>
      </c>
      <c r="P364">
        <v>2018</v>
      </c>
      <c r="Q364">
        <v>0.15029999999999999</v>
      </c>
      <c r="R364" s="10"/>
      <c r="S364">
        <f>ROUND(ТабCЕС[[#This Row],[Зелений Тариф ЕЦ]]+ТабCЕС[[#This Row],[Зелений Тариф ЕЦ]]*ТабCЕС[[#This Row],[% надбавки]],4)</f>
        <v>0.15029999999999999</v>
      </c>
      <c r="T364" s="8"/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0.307</v>
      </c>
      <c r="AJ364">
        <v>0.72399999999999998</v>
      </c>
      <c r="AK364">
        <v>0.753</v>
      </c>
      <c r="AL364">
        <v>0.65700000000000003</v>
      </c>
      <c r="AM364">
        <v>0.60099999999999998</v>
      </c>
      <c r="AN364">
        <v>0.75</v>
      </c>
      <c r="AO364">
        <v>0.50900000000000001</v>
      </c>
      <c r="AP364">
        <v>0.49299999999999999</v>
      </c>
      <c r="AQ364">
        <v>0.128</v>
      </c>
      <c r="AR364">
        <v>0.14499999999999999</v>
      </c>
      <c r="AS364">
        <v>0.154</v>
      </c>
      <c r="AT364">
        <v>0.248</v>
      </c>
      <c r="AU364">
        <v>0.60599999999999998</v>
      </c>
      <c r="AV364">
        <v>0.50900000000000001</v>
      </c>
      <c r="AW364">
        <v>0.67</v>
      </c>
      <c r="AX364">
        <v>0.67400000000000004</v>
      </c>
      <c r="AY364">
        <v>0.68300000000000005</v>
      </c>
      <c r="AZ364">
        <v>0.68899999999999995</v>
      </c>
    </row>
    <row r="365" spans="2:52">
      <c r="C365" t="s">
        <v>58</v>
      </c>
      <c r="D365" t="s">
        <v>384</v>
      </c>
      <c r="F365" s="1" t="s">
        <v>1320</v>
      </c>
      <c r="G365" s="1" t="s">
        <v>1321</v>
      </c>
      <c r="H365" t="s">
        <v>101</v>
      </c>
      <c r="I365" t="s">
        <v>1322</v>
      </c>
      <c r="K365" t="s">
        <v>1323</v>
      </c>
      <c r="L365" s="7">
        <v>4.1580000000000004</v>
      </c>
      <c r="M365" s="8">
        <v>43333</v>
      </c>
      <c r="N365">
        <v>8</v>
      </c>
      <c r="O365" t="s">
        <v>60</v>
      </c>
      <c r="P365">
        <v>2018</v>
      </c>
      <c r="Q365">
        <v>0.15029999999999999</v>
      </c>
      <c r="R365" s="10"/>
      <c r="S365">
        <f>ROUND(ТабCЕС[[#This Row],[Зелений Тариф ЕЦ]]+ТабCЕС[[#This Row],[Зелений Тариф ЕЦ]]*ТабCЕС[[#This Row],[% надбавки]],4)</f>
        <v>0.15029999999999999</v>
      </c>
      <c r="T365" s="8"/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0.41499999999999998</v>
      </c>
      <c r="AP365">
        <v>0.48499999999999999</v>
      </c>
      <c r="AQ365">
        <v>0.128</v>
      </c>
      <c r="AR365">
        <v>0.13900000000000001</v>
      </c>
      <c r="AS365">
        <v>0.14399999999999999</v>
      </c>
      <c r="AT365">
        <v>0.29099999999999998</v>
      </c>
      <c r="AU365">
        <v>0.74</v>
      </c>
      <c r="AV365">
        <v>0.72699999999999998</v>
      </c>
      <c r="AW365">
        <v>0.82199999999999995</v>
      </c>
      <c r="AX365">
        <v>0.88900000000000001</v>
      </c>
      <c r="AY365">
        <v>0.86199999999999999</v>
      </c>
      <c r="AZ365">
        <v>0.86199999999999999</v>
      </c>
    </row>
    <row r="366" spans="2:52">
      <c r="C366" t="s">
        <v>58</v>
      </c>
      <c r="D366" t="s">
        <v>384</v>
      </c>
      <c r="F366" s="1" t="s">
        <v>1320</v>
      </c>
      <c r="G366" s="1" t="s">
        <v>1324</v>
      </c>
      <c r="H366" t="s">
        <v>101</v>
      </c>
      <c r="I366" t="s">
        <v>1322</v>
      </c>
      <c r="K366" t="s">
        <v>1325</v>
      </c>
      <c r="L366" s="7">
        <v>1.1879999999999999</v>
      </c>
      <c r="M366" s="8">
        <v>43448</v>
      </c>
      <c r="N366">
        <v>12</v>
      </c>
      <c r="O366" t="s">
        <v>71</v>
      </c>
      <c r="P366">
        <v>2018</v>
      </c>
      <c r="Q366">
        <v>0.15029999999999999</v>
      </c>
      <c r="R366" s="10"/>
      <c r="S366">
        <f>ROUND(ТабCЕС[[#This Row],[Зелений Тариф ЕЦ]]+ТабCЕС[[#This Row],[Зелений Тариф ЕЦ]]*ТабCЕС[[#This Row],[% надбавки]],4)</f>
        <v>0.15029999999999999</v>
      </c>
      <c r="T366" s="8"/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</row>
    <row r="367" spans="2:52">
      <c r="B367" t="s">
        <v>1326</v>
      </c>
      <c r="C367">
        <v>38058759</v>
      </c>
      <c r="D367" t="s">
        <v>384</v>
      </c>
      <c r="F367" s="1" t="s">
        <v>1327</v>
      </c>
      <c r="G367" s="1" t="s">
        <v>384</v>
      </c>
      <c r="H367" t="s">
        <v>101</v>
      </c>
      <c r="J367" t="s">
        <v>392</v>
      </c>
      <c r="K367" t="s">
        <v>1328</v>
      </c>
      <c r="L367" s="7">
        <v>4.21</v>
      </c>
      <c r="M367" s="8">
        <v>41508</v>
      </c>
      <c r="N367">
        <v>8</v>
      </c>
      <c r="O367" t="s">
        <v>60</v>
      </c>
      <c r="P367">
        <v>2013</v>
      </c>
      <c r="Q367">
        <v>0.33929999999999999</v>
      </c>
      <c r="R367" s="10"/>
      <c r="S367">
        <f>ROUND(ТабCЕС[[#This Row],[Зелений Тариф ЕЦ]]+ТабCЕС[[#This Row],[Зелений Тариф ЕЦ]]*ТабCЕС[[#This Row],[% надбавки]],4)</f>
        <v>0.33929999999999999</v>
      </c>
      <c r="T367" s="8"/>
      <c r="U367">
        <v>0.21099999999999999</v>
      </c>
      <c r="V367">
        <v>0.24100000000000002</v>
      </c>
      <c r="W367">
        <v>0.46500000000000002</v>
      </c>
      <c r="X367">
        <v>0.54600000000000004</v>
      </c>
      <c r="Y367">
        <v>0.69599999999999973</v>
      </c>
      <c r="Z367">
        <v>0.71400000000000041</v>
      </c>
      <c r="AA367">
        <v>0.70299999999999985</v>
      </c>
      <c r="AB367">
        <v>0.63099999999999978</v>
      </c>
      <c r="AC367">
        <v>0.54499999999999993</v>
      </c>
      <c r="AD367">
        <v>0.27300000000000058</v>
      </c>
      <c r="AE367">
        <v>0.13499999999999979</v>
      </c>
      <c r="AF367">
        <v>0.13999999999999968</v>
      </c>
      <c r="AG367">
        <v>0.16700000000000001</v>
      </c>
      <c r="AH367">
        <v>0.14099999999999999</v>
      </c>
      <c r="AI367">
        <v>0.315</v>
      </c>
      <c r="AJ367">
        <v>0.66300000000000003</v>
      </c>
      <c r="AK367">
        <v>0.7</v>
      </c>
      <c r="AL367">
        <v>0.67300000000000004</v>
      </c>
      <c r="AM367">
        <v>0.62</v>
      </c>
      <c r="AN367">
        <v>0.72099999999999997</v>
      </c>
      <c r="AO367">
        <v>0.439</v>
      </c>
      <c r="AP367">
        <v>0.45200000000000001</v>
      </c>
      <c r="AQ367">
        <v>0.13400000000000001</v>
      </c>
      <c r="AR367">
        <v>0.09</v>
      </c>
      <c r="AS367">
        <v>0.13100000000000001</v>
      </c>
      <c r="AT367">
        <v>0.22500000000000001</v>
      </c>
      <c r="AU367">
        <v>0.53600000000000003</v>
      </c>
      <c r="AV367">
        <v>0.55600000000000005</v>
      </c>
      <c r="AW367">
        <v>0.63</v>
      </c>
      <c r="AX367">
        <v>0.66800000000000004</v>
      </c>
      <c r="AY367">
        <v>0.67500000000000004</v>
      </c>
      <c r="AZ367">
        <v>0.66400000000000003</v>
      </c>
    </row>
    <row r="368" spans="2:52">
      <c r="B368" t="s">
        <v>1329</v>
      </c>
      <c r="C368">
        <v>37581105</v>
      </c>
      <c r="D368" t="s">
        <v>384</v>
      </c>
      <c r="F368" s="1" t="s">
        <v>1330</v>
      </c>
      <c r="G368" s="1" t="s">
        <v>384</v>
      </c>
      <c r="H368" t="s">
        <v>69</v>
      </c>
      <c r="K368" t="s">
        <v>1331</v>
      </c>
      <c r="L368" s="7">
        <v>6</v>
      </c>
      <c r="M368" s="8">
        <v>41214</v>
      </c>
      <c r="N368">
        <v>11</v>
      </c>
      <c r="O368" t="s">
        <v>71</v>
      </c>
      <c r="P368">
        <v>2012</v>
      </c>
      <c r="Q368">
        <v>0.46529999999999999</v>
      </c>
      <c r="R368" s="10"/>
      <c r="S368">
        <f>ROUND(ТабCЕС[[#This Row],[Зелений Тариф ЕЦ]]+ТабCЕС[[#This Row],[Зелений Тариф ЕЦ]]*ТабCЕС[[#This Row],[% надбавки]],4)</f>
        <v>0.46529999999999999</v>
      </c>
      <c r="T368" s="8"/>
      <c r="U368">
        <v>0.22900000000000001</v>
      </c>
      <c r="V368">
        <v>0.33399999999999996</v>
      </c>
      <c r="W368">
        <v>0.67300000000000004</v>
      </c>
      <c r="X368">
        <v>0.78300000000000014</v>
      </c>
      <c r="Y368">
        <v>1.0099999999999998</v>
      </c>
      <c r="Z368">
        <v>0.99899999999999967</v>
      </c>
      <c r="AA368">
        <v>0.9740000000000002</v>
      </c>
      <c r="AB368">
        <v>0.99500000000000011</v>
      </c>
      <c r="AC368">
        <v>0.85099999999999998</v>
      </c>
      <c r="AD368">
        <v>0.35299999999999976</v>
      </c>
      <c r="AE368">
        <v>0.1980000000000004</v>
      </c>
      <c r="AF368">
        <v>0.10899999999999999</v>
      </c>
      <c r="AG368">
        <v>7.368941979522188E-2</v>
      </c>
      <c r="AH368">
        <v>9.7136053366428832E-2</v>
      </c>
      <c r="AI368">
        <v>0.49386798014272437</v>
      </c>
      <c r="AJ368">
        <v>1.0026227117592308</v>
      </c>
      <c r="AK368">
        <v>1.080405988209743</v>
      </c>
      <c r="AL368">
        <v>1.0971535836177477</v>
      </c>
      <c r="AM368">
        <v>0.95312426310890497</v>
      </c>
      <c r="AN368">
        <v>1.0449999999999999</v>
      </c>
      <c r="AO368">
        <v>0.64500000000000002</v>
      </c>
      <c r="AP368">
        <v>0.65100000000000002</v>
      </c>
      <c r="AQ368">
        <v>0.26800000000000002</v>
      </c>
      <c r="AR368">
        <v>7.8E-2</v>
      </c>
      <c r="AS368">
        <v>0.18099999999999999</v>
      </c>
      <c r="AT368">
        <v>0.315</v>
      </c>
      <c r="AU368">
        <v>0.60899999999999999</v>
      </c>
      <c r="AV368">
        <v>0.84099999999999997</v>
      </c>
      <c r="AW368">
        <v>0.91200000000000003</v>
      </c>
      <c r="AX368">
        <v>0.97299999999999998</v>
      </c>
      <c r="AY368">
        <v>0.96599999999999997</v>
      </c>
      <c r="AZ368">
        <v>0.96</v>
      </c>
    </row>
    <row r="369" spans="2:52">
      <c r="B369" t="s">
        <v>1332</v>
      </c>
      <c r="C369">
        <v>37581105</v>
      </c>
      <c r="D369" t="s">
        <v>384</v>
      </c>
      <c r="F369" s="1" t="s">
        <v>1330</v>
      </c>
      <c r="G369" s="1" t="s">
        <v>992</v>
      </c>
      <c r="H369" t="s">
        <v>69</v>
      </c>
      <c r="K369" t="s">
        <v>1333</v>
      </c>
      <c r="L369" s="7">
        <v>6.5259999999999998</v>
      </c>
      <c r="M369" s="8">
        <v>43476</v>
      </c>
      <c r="N369">
        <v>1</v>
      </c>
      <c r="O369" t="s">
        <v>67</v>
      </c>
      <c r="P369">
        <v>2019</v>
      </c>
      <c r="Q369">
        <v>0.15029999999999999</v>
      </c>
      <c r="R369" s="10"/>
      <c r="S369">
        <f>ROUND(ТабCЕС[[#This Row],[Зелений Тариф ЕЦ]]+ТабCЕС[[#This Row],[Зелений Тариф ЕЦ]]*ТабCЕС[[#This Row],[% надбавки]],4)</f>
        <v>0.15029999999999999</v>
      </c>
      <c r="T369" s="8"/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0.12431058020477813</v>
      </c>
      <c r="AH369">
        <v>0.16386394663357118</v>
      </c>
      <c r="AI369">
        <v>0.83313201985727559</v>
      </c>
      <c r="AJ369">
        <v>1.6913772882407692</v>
      </c>
      <c r="AK369">
        <v>1.822594011790257</v>
      </c>
      <c r="AL369">
        <v>1.8508464163822522</v>
      </c>
      <c r="AM369">
        <v>1.607875736891095</v>
      </c>
      <c r="AN369">
        <v>4.8</v>
      </c>
      <c r="AO369">
        <v>3.1360000000000001</v>
      </c>
      <c r="AP369">
        <v>3.9009999999999998</v>
      </c>
      <c r="AQ369">
        <v>1.802</v>
      </c>
      <c r="AR369">
        <v>0.53</v>
      </c>
      <c r="AS369">
        <v>1.234</v>
      </c>
      <c r="AT369">
        <v>3.3919999999999999</v>
      </c>
      <c r="AU369">
        <v>6.2009999999999996</v>
      </c>
      <c r="AV369">
        <v>8.3249999999999993</v>
      </c>
      <c r="AW369">
        <v>8.6419999999999995</v>
      </c>
      <c r="AX369">
        <v>9.2230000000000008</v>
      </c>
      <c r="AY369">
        <v>9.1959999999999997</v>
      </c>
      <c r="AZ369">
        <v>9.0510000000000002</v>
      </c>
    </row>
    <row r="370" spans="2:52">
      <c r="B370" t="s">
        <v>1332</v>
      </c>
      <c r="C370">
        <v>37581105</v>
      </c>
      <c r="D370" t="s">
        <v>384</v>
      </c>
      <c r="F370" s="1" t="s">
        <v>1330</v>
      </c>
      <c r="G370" s="1" t="s">
        <v>994</v>
      </c>
      <c r="H370" t="s">
        <v>69</v>
      </c>
      <c r="K370" t="s">
        <v>1334</v>
      </c>
      <c r="L370" s="7">
        <v>5.4480000000000004</v>
      </c>
      <c r="M370" s="8">
        <v>43096</v>
      </c>
      <c r="N370">
        <v>12</v>
      </c>
      <c r="O370" t="s">
        <v>71</v>
      </c>
      <c r="P370">
        <v>2017</v>
      </c>
      <c r="Q370">
        <v>0.15029999999999999</v>
      </c>
      <c r="R370" s="10"/>
      <c r="S370">
        <f>ROUND(ТабCЕС[[#This Row],[Зелений Тариф ЕЦ]]+ТабCЕС[[#This Row],[Зелений Тариф ЕЦ]]*ТабCЕС[[#This Row],[% надбавки]],4)</f>
        <v>0.15029999999999999</v>
      </c>
      <c r="T370" s="8"/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</row>
    <row r="371" spans="2:52">
      <c r="B371" t="s">
        <v>1332</v>
      </c>
      <c r="C371">
        <v>37581105</v>
      </c>
      <c r="D371" t="s">
        <v>384</v>
      </c>
      <c r="F371" s="1" t="s">
        <v>1330</v>
      </c>
      <c r="G371" s="1" t="s">
        <v>1335</v>
      </c>
      <c r="H371" t="s">
        <v>69</v>
      </c>
      <c r="K371" t="s">
        <v>1336</v>
      </c>
      <c r="L371" s="7">
        <v>5.4480000000000004</v>
      </c>
      <c r="M371" s="8">
        <v>43111</v>
      </c>
      <c r="N371">
        <v>1</v>
      </c>
      <c r="O371" t="s">
        <v>67</v>
      </c>
      <c r="P371">
        <v>2018</v>
      </c>
      <c r="Q371">
        <v>0.15029999999999999</v>
      </c>
      <c r="R371" s="10"/>
      <c r="S371">
        <f>ROUND(ТабCЕС[[#This Row],[Зелений Тариф ЕЦ]]+ТабCЕС[[#This Row],[Зелений Тариф ЕЦ]]*ТабCЕС[[#This Row],[% надбавки]],4)</f>
        <v>0.15029999999999999</v>
      </c>
      <c r="T371" s="8"/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</row>
    <row r="372" spans="2:52">
      <c r="B372" t="s">
        <v>1332</v>
      </c>
      <c r="C372">
        <v>37581105</v>
      </c>
      <c r="D372" t="s">
        <v>384</v>
      </c>
      <c r="F372" s="1" t="s">
        <v>1330</v>
      </c>
      <c r="G372" s="1" t="s">
        <v>442</v>
      </c>
      <c r="H372" t="s">
        <v>69</v>
      </c>
      <c r="K372" t="s">
        <v>1337</v>
      </c>
      <c r="L372" s="7">
        <v>5.1559999999999997</v>
      </c>
      <c r="M372" s="8">
        <v>43300</v>
      </c>
      <c r="N372">
        <v>7</v>
      </c>
      <c r="O372" t="s">
        <v>60</v>
      </c>
      <c r="P372">
        <v>2018</v>
      </c>
      <c r="Q372">
        <v>0.15029999999999999</v>
      </c>
      <c r="R372" s="10"/>
      <c r="S372">
        <f>ROUND(ТабCЕС[[#This Row],[Зелений Тариф ЕЦ]]+ТабCЕС[[#This Row],[Зелений Тариф ЕЦ]]*ТабCЕС[[#This Row],[% надбавки]],4)</f>
        <v>0.15029999999999999</v>
      </c>
      <c r="T372" s="8"/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</row>
    <row r="373" spans="2:52">
      <c r="B373" t="s">
        <v>1332</v>
      </c>
      <c r="C373">
        <v>37581105</v>
      </c>
      <c r="D373" t="s">
        <v>384</v>
      </c>
      <c r="F373" s="1" t="s">
        <v>1330</v>
      </c>
      <c r="G373" s="1" t="s">
        <v>1338</v>
      </c>
      <c r="H373" t="s">
        <v>69</v>
      </c>
      <c r="K373" t="s">
        <v>1339</v>
      </c>
      <c r="L373" s="7">
        <v>7.101</v>
      </c>
      <c r="M373" s="8">
        <v>43300</v>
      </c>
      <c r="N373">
        <v>7</v>
      </c>
      <c r="O373" t="s">
        <v>60</v>
      </c>
      <c r="P373">
        <v>2018</v>
      </c>
      <c r="Q373">
        <v>0.15029999999999999</v>
      </c>
      <c r="R373" s="10"/>
      <c r="S373">
        <f>ROUND(ТабCЕС[[#This Row],[Зелений Тариф ЕЦ]]+ТабCЕС[[#This Row],[Зелений Тариф ЕЦ]]*ТабCЕС[[#This Row],[% надбавки]],4)</f>
        <v>0.15029999999999999</v>
      </c>
      <c r="T373" s="8"/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</row>
    <row r="374" spans="2:52">
      <c r="B374" t="s">
        <v>1332</v>
      </c>
      <c r="C374">
        <v>37581105</v>
      </c>
      <c r="D374" t="s">
        <v>384</v>
      </c>
      <c r="F374" s="1" t="s">
        <v>1330</v>
      </c>
      <c r="G374" s="1" t="s">
        <v>1340</v>
      </c>
      <c r="H374" t="s">
        <v>69</v>
      </c>
      <c r="K374" t="s">
        <v>1341</v>
      </c>
      <c r="L374" s="7">
        <v>4.5410000000000004</v>
      </c>
      <c r="M374" s="8">
        <v>43300</v>
      </c>
      <c r="N374">
        <v>7</v>
      </c>
      <c r="O374" t="s">
        <v>60</v>
      </c>
      <c r="P374">
        <v>2018</v>
      </c>
      <c r="Q374">
        <v>0.15029999999999999</v>
      </c>
      <c r="R374" s="10"/>
      <c r="S374">
        <f>ROUND(ТабCЕС[[#This Row],[Зелений Тариф ЕЦ]]+ТабCЕС[[#This Row],[Зелений Тариф ЕЦ]]*ТабCЕС[[#This Row],[% надбавки]],4)</f>
        <v>0.15029999999999999</v>
      </c>
      <c r="T374" s="8"/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</row>
    <row r="375" spans="2:52">
      <c r="B375" t="s">
        <v>1332</v>
      </c>
      <c r="C375">
        <v>37581105</v>
      </c>
      <c r="D375" t="s">
        <v>384</v>
      </c>
      <c r="F375" s="1" t="s">
        <v>1330</v>
      </c>
      <c r="G375" s="1" t="s">
        <v>1342</v>
      </c>
      <c r="H375" t="s">
        <v>69</v>
      </c>
      <c r="K375" t="s">
        <v>1343</v>
      </c>
      <c r="L375" s="7">
        <v>7.54</v>
      </c>
      <c r="M375" s="8">
        <v>43382</v>
      </c>
      <c r="N375">
        <v>10</v>
      </c>
      <c r="O375" t="s">
        <v>71</v>
      </c>
      <c r="P375">
        <v>2018</v>
      </c>
      <c r="Q375">
        <v>0.15029999999999999</v>
      </c>
      <c r="R375" s="10"/>
      <c r="S375">
        <f>ROUND(ТабCЕС[[#This Row],[Зелений Тариф ЕЦ]]+ТабCЕС[[#This Row],[Зелений Тариф ЕЦ]]*ТабCЕС[[#This Row],[% надбавки]],4)</f>
        <v>0.15029999999999999</v>
      </c>
      <c r="T375" s="8"/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</row>
    <row r="376" spans="2:52">
      <c r="B376" t="s">
        <v>1332</v>
      </c>
      <c r="C376">
        <v>37581105</v>
      </c>
      <c r="D376" t="s">
        <v>384</v>
      </c>
      <c r="F376" s="1" t="s">
        <v>1330</v>
      </c>
      <c r="G376" s="1" t="s">
        <v>1344</v>
      </c>
      <c r="H376" t="s">
        <v>69</v>
      </c>
      <c r="K376" t="s">
        <v>1345</v>
      </c>
      <c r="L376" s="7">
        <v>6.47</v>
      </c>
      <c r="M376" s="8">
        <v>43476</v>
      </c>
      <c r="N376">
        <v>1</v>
      </c>
      <c r="O376" t="s">
        <v>67</v>
      </c>
      <c r="P376">
        <v>2019</v>
      </c>
      <c r="Q376">
        <v>0.15029999999999999</v>
      </c>
      <c r="R376" s="10"/>
      <c r="S376">
        <f>ROUND(ТабCЕС[[#This Row],[Зелений Тариф ЕЦ]]+ТабCЕС[[#This Row],[Зелений Тариф ЕЦ]]*ТабCЕС[[#This Row],[% надбавки]],4)</f>
        <v>0.15029999999999999</v>
      </c>
      <c r="T376" s="8"/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</row>
    <row r="377" spans="2:52">
      <c r="B377" t="s">
        <v>1332</v>
      </c>
      <c r="C377">
        <v>37581105</v>
      </c>
      <c r="D377" t="s">
        <v>384</v>
      </c>
      <c r="F377" s="1" t="s">
        <v>1330</v>
      </c>
      <c r="G377" s="1" t="s">
        <v>1346</v>
      </c>
      <c r="H377" t="s">
        <v>69</v>
      </c>
      <c r="K377" t="s">
        <v>1347</v>
      </c>
      <c r="L377" s="7">
        <v>6.4290000000000003</v>
      </c>
      <c r="M377" s="8">
        <v>43476</v>
      </c>
      <c r="N377">
        <v>1</v>
      </c>
      <c r="O377" t="s">
        <v>67</v>
      </c>
      <c r="P377">
        <v>2019</v>
      </c>
      <c r="Q377">
        <v>0.15029999999999999</v>
      </c>
      <c r="R377" s="10"/>
      <c r="S377">
        <f>ROUND(ТабCЕС[[#This Row],[Зелений Тариф ЕЦ]]+ТабCЕС[[#This Row],[Зелений Тариф ЕЦ]]*ТабCЕС[[#This Row],[% надбавки]],4)</f>
        <v>0.15029999999999999</v>
      </c>
      <c r="T377" s="8"/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</row>
    <row r="378" spans="2:52">
      <c r="C378" t="s">
        <v>58</v>
      </c>
      <c r="D378" t="s">
        <v>384</v>
      </c>
      <c r="F378" s="1" t="s">
        <v>1348</v>
      </c>
      <c r="G378" s="1" t="s">
        <v>384</v>
      </c>
      <c r="H378" t="s">
        <v>73</v>
      </c>
      <c r="K378" t="s">
        <v>1349</v>
      </c>
      <c r="L378" s="7">
        <v>9.99</v>
      </c>
      <c r="M378" s="8">
        <v>42943</v>
      </c>
      <c r="N378">
        <v>7</v>
      </c>
      <c r="O378" t="s">
        <v>60</v>
      </c>
      <c r="P378">
        <v>2017</v>
      </c>
      <c r="Q378">
        <v>0.15029999999999999</v>
      </c>
      <c r="R378" s="10"/>
      <c r="S378">
        <f>ROUND(ТабCЕС[[#This Row],[Зелений Тариф ЕЦ]]+ТабCЕС[[#This Row],[Зелений Тариф ЕЦ]]*ТабCЕС[[#This Row],[% надбавки]],4)</f>
        <v>0.15029999999999999</v>
      </c>
      <c r="T378" s="8"/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1.17</v>
      </c>
      <c r="AC378">
        <v>1.2549999999999999</v>
      </c>
      <c r="AD378">
        <v>0.62600000000000033</v>
      </c>
      <c r="AE378">
        <v>0.371</v>
      </c>
      <c r="AF378">
        <v>0.28399999999999981</v>
      </c>
      <c r="AG378">
        <v>0.36299999999999999</v>
      </c>
      <c r="AH378">
        <v>0.42699999999999999</v>
      </c>
      <c r="AI378">
        <v>0.86499999999999999</v>
      </c>
      <c r="AJ378">
        <v>1.575</v>
      </c>
      <c r="AK378">
        <v>1.718</v>
      </c>
      <c r="AL378">
        <v>1.6060000000000001</v>
      </c>
      <c r="AM378">
        <v>1.57</v>
      </c>
      <c r="AN378">
        <v>1.7370000000000001</v>
      </c>
      <c r="AO378">
        <v>1.089</v>
      </c>
      <c r="AP378">
        <v>1.244</v>
      </c>
      <c r="AQ378">
        <v>0.28100000000000003</v>
      </c>
      <c r="AR378">
        <v>0.21199999999999999</v>
      </c>
      <c r="AS378">
        <v>0.29099999999999998</v>
      </c>
      <c r="AT378">
        <v>0.47899999999999998</v>
      </c>
      <c r="AU378">
        <v>1.2150000000000001</v>
      </c>
      <c r="AV378">
        <v>1.5369999999999999</v>
      </c>
      <c r="AW378">
        <v>1.5229999999999999</v>
      </c>
      <c r="AX378">
        <v>1.6160000000000001</v>
      </c>
      <c r="AY378">
        <v>1.704</v>
      </c>
      <c r="AZ378">
        <v>1.5249999999999999</v>
      </c>
    </row>
    <row r="379" spans="2:52">
      <c r="C379" t="s">
        <v>58</v>
      </c>
      <c r="D379" t="s">
        <v>384</v>
      </c>
      <c r="F379" s="1" t="s">
        <v>1350</v>
      </c>
      <c r="G379" s="1" t="s">
        <v>384</v>
      </c>
      <c r="H379" t="s">
        <v>65</v>
      </c>
      <c r="K379" t="s">
        <v>1351</v>
      </c>
      <c r="L379" s="7">
        <v>0.499</v>
      </c>
      <c r="M379" s="8">
        <v>43277</v>
      </c>
      <c r="N379">
        <v>6</v>
      </c>
      <c r="O379" t="s">
        <v>57</v>
      </c>
      <c r="P379">
        <v>2018</v>
      </c>
      <c r="Q379">
        <v>0.15029999999999999</v>
      </c>
      <c r="R379" s="10"/>
      <c r="S379">
        <f>ROUND(ТабCЕС[[#This Row],[Зелений Тариф ЕЦ]]+ТабCЕС[[#This Row],[Зелений Тариф ЕЦ]]*ТабCЕС[[#This Row],[% надбавки]],4)</f>
        <v>0.15029999999999999</v>
      </c>
      <c r="T379" s="8"/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0.14699999999999999</v>
      </c>
      <c r="AL379">
        <v>5.8999999999999997E-2</v>
      </c>
      <c r="AM379">
        <v>6.7000000000000004E-2</v>
      </c>
      <c r="AN379">
        <v>7.2999999999999995E-2</v>
      </c>
      <c r="AO379">
        <v>5.8000000000000003E-2</v>
      </c>
      <c r="AP379">
        <v>4.3999999999999997E-2</v>
      </c>
      <c r="AQ379">
        <v>8.0000000000000002E-3</v>
      </c>
      <c r="AR379">
        <v>4.0000000000000001E-3</v>
      </c>
      <c r="AS379">
        <v>5.0000000000000001E-3</v>
      </c>
      <c r="AT379">
        <v>0.03</v>
      </c>
      <c r="AU379">
        <v>5.1999999999999998E-2</v>
      </c>
      <c r="AV379">
        <v>5.8000000000000003E-2</v>
      </c>
      <c r="AW379">
        <v>5.5E-2</v>
      </c>
      <c r="AX379">
        <v>7.4999999999999997E-2</v>
      </c>
      <c r="AY379">
        <v>7.5999999999999998E-2</v>
      </c>
      <c r="AZ379">
        <v>7.0000000000000007E-2</v>
      </c>
    </row>
    <row r="380" spans="2:52">
      <c r="C380" t="s">
        <v>58</v>
      </c>
      <c r="D380" t="s">
        <v>384</v>
      </c>
      <c r="F380" s="1" t="s">
        <v>1350</v>
      </c>
      <c r="G380" s="1" t="s">
        <v>384</v>
      </c>
      <c r="H380" t="s">
        <v>65</v>
      </c>
      <c r="K380" t="s">
        <v>1352</v>
      </c>
      <c r="L380" s="7">
        <v>2.4830000000000001</v>
      </c>
      <c r="M380" s="8">
        <v>43476</v>
      </c>
      <c r="N380">
        <v>1</v>
      </c>
      <c r="O380" t="s">
        <v>67</v>
      </c>
      <c r="P380">
        <v>2019</v>
      </c>
      <c r="Q380">
        <v>0.15029999999999999</v>
      </c>
      <c r="R380" s="10"/>
      <c r="S380">
        <f>ROUND(ТабCЕС[[#This Row],[Зелений Тариф ЕЦ]]+ТабCЕС[[#This Row],[Зелений Тариф ЕЦ]]*ТабCЕС[[#This Row],[% надбавки]],4)</f>
        <v>0.15029999999999999</v>
      </c>
      <c r="T380" s="8"/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6.0000000000000001E-3</v>
      </c>
      <c r="AT380">
        <v>8.2000000000000003E-2</v>
      </c>
      <c r="AU380">
        <v>0.186</v>
      </c>
      <c r="AV380">
        <v>0.27</v>
      </c>
      <c r="AW380">
        <v>0.28999999999999998</v>
      </c>
      <c r="AX380">
        <v>0.39300000000000002</v>
      </c>
      <c r="AY380">
        <v>0.39300000000000002</v>
      </c>
      <c r="AZ380">
        <v>0.35399999999999998</v>
      </c>
    </row>
    <row r="381" spans="2:52">
      <c r="C381" t="s">
        <v>58</v>
      </c>
      <c r="D381" t="s">
        <v>384</v>
      </c>
      <c r="F381" s="1" t="s">
        <v>1353</v>
      </c>
      <c r="G381" s="1" t="s">
        <v>384</v>
      </c>
      <c r="H381" t="s">
        <v>233</v>
      </c>
      <c r="K381" t="s">
        <v>1354</v>
      </c>
      <c r="L381" s="7">
        <v>12.65</v>
      </c>
      <c r="M381" s="8">
        <v>43508</v>
      </c>
      <c r="N381">
        <v>2</v>
      </c>
      <c r="O381" t="s">
        <v>67</v>
      </c>
      <c r="P381">
        <v>2019</v>
      </c>
      <c r="Q381">
        <v>0.15029999999999999</v>
      </c>
      <c r="R381" s="10"/>
      <c r="S381">
        <f>ROUND(ТабCЕС[[#This Row],[Зелений Тариф ЕЦ]]+ТабCЕС[[#This Row],[Зелений Тариф ЕЦ]]*ТабCЕС[[#This Row],[% надбавки]],4)</f>
        <v>0.15029999999999999</v>
      </c>
      <c r="T381" s="8"/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0.42199999999999999</v>
      </c>
      <c r="AW381">
        <v>0.31900000000000001</v>
      </c>
      <c r="AX381">
        <v>0.68200000000000005</v>
      </c>
      <c r="AY381">
        <v>2.0310000000000001</v>
      </c>
      <c r="AZ381">
        <v>1.9650000000000001</v>
      </c>
    </row>
    <row r="382" spans="2:52">
      <c r="C382" t="s">
        <v>58</v>
      </c>
      <c r="D382" t="s">
        <v>384</v>
      </c>
      <c r="F382" s="1" t="s">
        <v>1355</v>
      </c>
      <c r="G382" s="1" t="s">
        <v>1356</v>
      </c>
      <c r="H382" t="s">
        <v>62</v>
      </c>
      <c r="K382" t="s">
        <v>1357</v>
      </c>
      <c r="L382" s="7">
        <v>4.4800000000000004</v>
      </c>
      <c r="M382" s="8">
        <v>43111</v>
      </c>
      <c r="N382">
        <v>1</v>
      </c>
      <c r="O382" t="s">
        <v>67</v>
      </c>
      <c r="P382">
        <v>2018</v>
      </c>
      <c r="Q382">
        <v>0.15029999999999999</v>
      </c>
      <c r="R382" s="10"/>
      <c r="S382">
        <f>ROUND(ТабCЕС[[#This Row],[Зелений Тариф ЕЦ]]+ТабCЕС[[#This Row],[Зелений Тариф ЕЦ]]*ТабCЕС[[#This Row],[% надбавки]],4)</f>
        <v>0.15029999999999999</v>
      </c>
      <c r="T382" s="8"/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0.10199999999999999</v>
      </c>
      <c r="AH382">
        <v>0.17</v>
      </c>
      <c r="AI382">
        <v>0.371</v>
      </c>
      <c r="AJ382">
        <v>0.65</v>
      </c>
      <c r="AK382">
        <v>0.70199999999999996</v>
      </c>
      <c r="AL382">
        <v>0.56999999999999995</v>
      </c>
      <c r="AM382">
        <v>0.57199999999999995</v>
      </c>
      <c r="AN382">
        <v>0.65800000000000003</v>
      </c>
      <c r="AO382">
        <v>0.496</v>
      </c>
      <c r="AP382">
        <v>0.39</v>
      </c>
      <c r="AQ382">
        <v>0.16200000000000001</v>
      </c>
      <c r="AR382">
        <v>8.7999999999999995E-2</v>
      </c>
      <c r="AS382">
        <v>7.9000000000000001E-2</v>
      </c>
      <c r="AT382">
        <v>0.34699999999999998</v>
      </c>
      <c r="AU382">
        <v>0.69099999999999995</v>
      </c>
      <c r="AV382">
        <v>0.85099999999999998</v>
      </c>
      <c r="AW382">
        <v>0.82699999999999996</v>
      </c>
      <c r="AX382">
        <v>1.0640000000000001</v>
      </c>
      <c r="AY382">
        <v>1.095</v>
      </c>
      <c r="AZ382">
        <v>1.0049999999999999</v>
      </c>
    </row>
    <row r="383" spans="2:52">
      <c r="C383" t="s">
        <v>58</v>
      </c>
      <c r="D383" t="s">
        <v>384</v>
      </c>
      <c r="F383" s="1" t="s">
        <v>1355</v>
      </c>
      <c r="G383" s="1" t="s">
        <v>1358</v>
      </c>
      <c r="H383" t="s">
        <v>62</v>
      </c>
      <c r="K383" t="s">
        <v>1359</v>
      </c>
      <c r="L383" s="7">
        <v>2.5539999999999998</v>
      </c>
      <c r="M383" s="8">
        <v>43371</v>
      </c>
      <c r="N383">
        <v>9</v>
      </c>
      <c r="O383" t="s">
        <v>60</v>
      </c>
      <c r="P383">
        <v>2018</v>
      </c>
      <c r="Q383">
        <v>0.15029999999999999</v>
      </c>
      <c r="R383" s="10"/>
      <c r="S383">
        <f>ROUND(ТабCЕС[[#This Row],[Зелений Тариф ЕЦ]]+ТабCЕС[[#This Row],[Зелений Тариф ЕЦ]]*ТабCЕС[[#This Row],[% надбавки]],4)</f>
        <v>0.15029999999999999</v>
      </c>
      <c r="T383" s="8"/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</row>
    <row r="384" spans="2:52">
      <c r="C384" t="s">
        <v>58</v>
      </c>
      <c r="D384" t="s">
        <v>384</v>
      </c>
      <c r="F384" s="1" t="s">
        <v>1360</v>
      </c>
      <c r="G384" s="1" t="s">
        <v>384</v>
      </c>
      <c r="H384" t="s">
        <v>65</v>
      </c>
      <c r="K384" t="s">
        <v>1361</v>
      </c>
      <c r="L384" s="7">
        <v>4.8280000000000003</v>
      </c>
      <c r="M384" s="8">
        <v>42905</v>
      </c>
      <c r="N384">
        <v>6</v>
      </c>
      <c r="O384" t="s">
        <v>57</v>
      </c>
      <c r="P384">
        <v>2017</v>
      </c>
      <c r="Q384">
        <v>0.15989999999999999</v>
      </c>
      <c r="R384" s="10"/>
      <c r="S384">
        <f>ROUND(ТабCЕС[[#This Row],[Зелений Тариф ЕЦ]]+ТабCЕС[[#This Row],[Зелений Тариф ЕЦ]]*ТабCЕС[[#This Row],[% надбавки]],4)</f>
        <v>0.15989999999999999</v>
      </c>
      <c r="T384" s="8"/>
      <c r="U384">
        <v>0</v>
      </c>
      <c r="V384">
        <v>0</v>
      </c>
      <c r="W384">
        <v>0</v>
      </c>
      <c r="X384">
        <v>0</v>
      </c>
      <c r="Y384">
        <v>0</v>
      </c>
      <c r="Z384">
        <v>0.77600000000000002</v>
      </c>
      <c r="AA384">
        <v>0.75099999999999989</v>
      </c>
      <c r="AB384">
        <v>0.7170000000000003</v>
      </c>
      <c r="AC384">
        <v>0.50599999999999978</v>
      </c>
      <c r="AD384">
        <v>0.40799999999999992</v>
      </c>
      <c r="AE384">
        <v>0.13100000000000023</v>
      </c>
      <c r="AF384">
        <v>0.11199999999999966</v>
      </c>
      <c r="AG384">
        <v>0.189</v>
      </c>
      <c r="AH384">
        <v>0.14799999999999999</v>
      </c>
      <c r="AI384">
        <v>0.34200000000000003</v>
      </c>
      <c r="AJ384">
        <v>0.71699999999999997</v>
      </c>
      <c r="AK384">
        <v>0.73499999999999999</v>
      </c>
      <c r="AL384">
        <v>0.59099999999999997</v>
      </c>
      <c r="AM384">
        <v>0.63400000000000001</v>
      </c>
      <c r="AN384">
        <v>0.71799999999999997</v>
      </c>
      <c r="AO384">
        <v>0.59399999999999997</v>
      </c>
      <c r="AP384">
        <v>0.48</v>
      </c>
      <c r="AQ384">
        <v>0.11899999999999999</v>
      </c>
      <c r="AR384">
        <v>6.9000000000000006E-2</v>
      </c>
      <c r="AS384">
        <v>0.08</v>
      </c>
      <c r="AT384">
        <v>0.32600000000000001</v>
      </c>
      <c r="AU384">
        <v>0.50700000000000001</v>
      </c>
      <c r="AV384">
        <v>0.56999999999999995</v>
      </c>
      <c r="AW384">
        <v>0.55400000000000005</v>
      </c>
      <c r="AX384">
        <v>0.72399999999999998</v>
      </c>
      <c r="AY384">
        <v>0.751</v>
      </c>
      <c r="AZ384">
        <v>0.70599999999999996</v>
      </c>
    </row>
    <row r="385" spans="2:52">
      <c r="C385" t="s">
        <v>58</v>
      </c>
      <c r="D385" t="s">
        <v>384</v>
      </c>
      <c r="F385" s="1" t="s">
        <v>1362</v>
      </c>
      <c r="G385" s="1" t="s">
        <v>1363</v>
      </c>
      <c r="H385" t="s">
        <v>122</v>
      </c>
      <c r="K385" t="s">
        <v>1364</v>
      </c>
      <c r="L385" s="7">
        <v>17.431000000000001</v>
      </c>
      <c r="M385" s="8">
        <v>43431</v>
      </c>
      <c r="N385">
        <v>11</v>
      </c>
      <c r="O385" t="s">
        <v>71</v>
      </c>
      <c r="P385">
        <v>2018</v>
      </c>
      <c r="Q385">
        <v>0.15029999999999999</v>
      </c>
      <c r="R385" s="10"/>
      <c r="S385">
        <f>ROUND(ТабCЕС[[#This Row],[Зелений Тариф ЕЦ]]+ТабCЕС[[#This Row],[Зелений Тариф ЕЦ]]*ТабCЕС[[#This Row],[% надбавки]],4)</f>
        <v>0.15029999999999999</v>
      </c>
      <c r="T385" s="8"/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6.7000000000000004E-2</v>
      </c>
      <c r="AT385">
        <v>0.746</v>
      </c>
      <c r="AU385">
        <v>1.7689999999999999</v>
      </c>
      <c r="AV385">
        <v>2.3929999999999998</v>
      </c>
      <c r="AW385">
        <v>2.5720000000000001</v>
      </c>
      <c r="AX385">
        <v>2.891</v>
      </c>
      <c r="AY385">
        <v>2.8010000000000002</v>
      </c>
      <c r="AZ385">
        <v>2.5750000000000002</v>
      </c>
    </row>
    <row r="386" spans="2:52">
      <c r="B386" t="s">
        <v>1365</v>
      </c>
      <c r="C386">
        <v>37058103</v>
      </c>
      <c r="D386" t="s">
        <v>384</v>
      </c>
      <c r="F386" s="1" t="s">
        <v>1366</v>
      </c>
      <c r="G386" s="1" t="s">
        <v>384</v>
      </c>
      <c r="H386" t="s">
        <v>101</v>
      </c>
      <c r="K386" t="s">
        <v>1367</v>
      </c>
      <c r="L386" s="7">
        <v>21.77</v>
      </c>
      <c r="M386" s="8">
        <v>41095</v>
      </c>
      <c r="N386">
        <v>7</v>
      </c>
      <c r="O386" t="s">
        <v>60</v>
      </c>
      <c r="P386">
        <v>2012</v>
      </c>
      <c r="Q386">
        <v>0.25850000000000001</v>
      </c>
      <c r="R386" s="10"/>
      <c r="S386">
        <f>ROUND(ТабCЕС[[#This Row],[Зелений Тариф ЕЦ]]+ТабCЕС[[#This Row],[Зелений Тариф ЕЦ]]*ТабCЕС[[#This Row],[% надбавки]],4)</f>
        <v>0.25850000000000001</v>
      </c>
      <c r="T386" s="8"/>
      <c r="U386">
        <v>1.2390000000000001</v>
      </c>
      <c r="V386">
        <v>1.5669999999999999</v>
      </c>
      <c r="W386">
        <v>2.5919999999999996</v>
      </c>
      <c r="X386">
        <v>2.9800000000000004</v>
      </c>
      <c r="Y386">
        <v>3.8179999999999996</v>
      </c>
      <c r="Z386">
        <v>3.7300000000000004</v>
      </c>
      <c r="AA386">
        <v>3.7380000000000013</v>
      </c>
      <c r="AB386">
        <v>3.5579999999999998</v>
      </c>
      <c r="AC386">
        <v>3.1639999999999979</v>
      </c>
      <c r="AD386">
        <v>1.9260000000000019</v>
      </c>
      <c r="AE386">
        <v>0.88299999999999912</v>
      </c>
      <c r="AF386">
        <v>0.85999999999999943</v>
      </c>
      <c r="AG386">
        <v>1.083</v>
      </c>
      <c r="AH386">
        <v>0.83399999999999996</v>
      </c>
      <c r="AI386">
        <v>1.8660000000000001</v>
      </c>
      <c r="AJ386">
        <v>3.6589999999999998</v>
      </c>
      <c r="AK386">
        <v>3.74</v>
      </c>
      <c r="AL386">
        <v>3.427</v>
      </c>
      <c r="AM386">
        <v>3.1680000000000001</v>
      </c>
      <c r="AN386">
        <v>3.95</v>
      </c>
      <c r="AO386">
        <v>2.54</v>
      </c>
      <c r="AP386">
        <v>2.7160000000000002</v>
      </c>
      <c r="AQ386">
        <v>0.67400000000000004</v>
      </c>
      <c r="AR386">
        <v>0.56299999999999994</v>
      </c>
      <c r="AS386">
        <v>0.748</v>
      </c>
      <c r="AT386">
        <v>1.2729999999999999</v>
      </c>
      <c r="AU386">
        <v>3.101</v>
      </c>
      <c r="AV386">
        <v>3.0670000000000002</v>
      </c>
      <c r="AW386">
        <v>3.3130000000000002</v>
      </c>
      <c r="AX386">
        <v>3.6349999999999998</v>
      </c>
      <c r="AY386">
        <v>3.6190000000000002</v>
      </c>
      <c r="AZ386">
        <v>3.7429999999999999</v>
      </c>
    </row>
    <row r="387" spans="2:52">
      <c r="B387" t="s">
        <v>1368</v>
      </c>
      <c r="C387">
        <v>37058077</v>
      </c>
      <c r="D387" t="s">
        <v>384</v>
      </c>
      <c r="F387" s="1" t="s">
        <v>1369</v>
      </c>
      <c r="G387" s="1" t="s">
        <v>384</v>
      </c>
      <c r="H387" t="s">
        <v>101</v>
      </c>
      <c r="K387" t="s">
        <v>1367</v>
      </c>
      <c r="L387" s="7">
        <v>21.181999999999999</v>
      </c>
      <c r="M387" s="8">
        <v>41091</v>
      </c>
      <c r="N387">
        <v>7</v>
      </c>
      <c r="O387" t="s">
        <v>60</v>
      </c>
      <c r="P387">
        <v>2012</v>
      </c>
      <c r="Q387">
        <v>0.25850000000000001</v>
      </c>
      <c r="R387" s="10"/>
      <c r="S387">
        <f>ROUND(ТабCЕС[[#This Row],[Зелений Тариф ЕЦ]]+ТабCЕС[[#This Row],[Зелений Тариф ЕЦ]]*ТабCЕС[[#This Row],[% надбавки]],4)</f>
        <v>0.25850000000000001</v>
      </c>
      <c r="T387" s="8"/>
      <c r="U387">
        <v>1.177</v>
      </c>
      <c r="V387">
        <v>1.5179999999999998</v>
      </c>
      <c r="W387">
        <v>2.512</v>
      </c>
      <c r="X387">
        <v>2.8890000000000002</v>
      </c>
      <c r="Y387">
        <v>3.6760000000000002</v>
      </c>
      <c r="Z387">
        <v>3.5860000000000003</v>
      </c>
      <c r="AA387">
        <v>3.6050000000000004</v>
      </c>
      <c r="AB387">
        <v>3.4160000000000004</v>
      </c>
      <c r="AC387">
        <v>3.046999999999997</v>
      </c>
      <c r="AD387">
        <v>1.8640000000000008</v>
      </c>
      <c r="AE387">
        <v>0.85500000000000043</v>
      </c>
      <c r="AF387">
        <v>0.82000000000000028</v>
      </c>
      <c r="AG387">
        <v>1.0509999999999999</v>
      </c>
      <c r="AH387">
        <v>0.79600000000000004</v>
      </c>
      <c r="AI387">
        <v>1.798</v>
      </c>
      <c r="AJ387">
        <v>3.53</v>
      </c>
      <c r="AK387">
        <v>3.5920000000000001</v>
      </c>
      <c r="AL387">
        <v>3.2930000000000001</v>
      </c>
      <c r="AM387">
        <v>3.0710000000000002</v>
      </c>
      <c r="AN387">
        <v>3.774</v>
      </c>
      <c r="AO387">
        <v>2.4529999999999998</v>
      </c>
      <c r="AP387">
        <v>2.62</v>
      </c>
      <c r="AQ387">
        <v>0.65</v>
      </c>
      <c r="AR387">
        <v>0.53900000000000003</v>
      </c>
      <c r="AS387">
        <v>0.69299999999999995</v>
      </c>
      <c r="AT387">
        <v>1.2210000000000001</v>
      </c>
      <c r="AU387">
        <v>2.9980000000000002</v>
      </c>
      <c r="AV387">
        <v>2.948</v>
      </c>
      <c r="AW387">
        <v>3.1949999999999998</v>
      </c>
      <c r="AX387">
        <v>3.4670000000000001</v>
      </c>
      <c r="AY387">
        <v>3.4239999999999999</v>
      </c>
      <c r="AZ387">
        <v>3.5830000000000002</v>
      </c>
    </row>
    <row r="388" spans="2:52">
      <c r="C388" t="s">
        <v>58</v>
      </c>
      <c r="D388" t="s">
        <v>384</v>
      </c>
      <c r="F388" s="1" t="s">
        <v>1370</v>
      </c>
      <c r="G388" s="1" t="s">
        <v>384</v>
      </c>
      <c r="H388" t="s">
        <v>73</v>
      </c>
      <c r="K388" t="s">
        <v>1371</v>
      </c>
      <c r="L388" s="7">
        <v>2.9809999999999999</v>
      </c>
      <c r="M388" s="8">
        <v>43596</v>
      </c>
      <c r="N388">
        <v>5</v>
      </c>
      <c r="O388" t="s">
        <v>57</v>
      </c>
      <c r="P388">
        <v>2019</v>
      </c>
      <c r="Q388">
        <v>0.15029999999999999</v>
      </c>
      <c r="R388" s="10"/>
      <c r="S388">
        <f>ROUND(ТабCЕС[[#This Row],[Зелений Тариф ЕЦ]]+ТабCЕС[[#This Row],[Зелений Тариф ЕЦ]]*ТабCЕС[[#This Row],[% надбавки]],4)</f>
        <v>0.15029999999999999</v>
      </c>
      <c r="T388" s="8"/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0.47299999999999998</v>
      </c>
      <c r="AY388">
        <v>0.51300000000000001</v>
      </c>
      <c r="AZ388">
        <v>0.499</v>
      </c>
    </row>
    <row r="389" spans="2:52">
      <c r="C389" t="s">
        <v>58</v>
      </c>
      <c r="D389" t="s">
        <v>384</v>
      </c>
      <c r="F389" s="1" t="s">
        <v>1372</v>
      </c>
      <c r="G389" s="1" t="s">
        <v>1373</v>
      </c>
      <c r="H389" t="s">
        <v>73</v>
      </c>
      <c r="K389" t="s">
        <v>1374</v>
      </c>
      <c r="L389" s="7">
        <v>5.524</v>
      </c>
      <c r="M389" s="8">
        <v>42905</v>
      </c>
      <c r="N389">
        <v>6</v>
      </c>
      <c r="O389" t="s">
        <v>57</v>
      </c>
      <c r="P389">
        <v>2017</v>
      </c>
      <c r="Q389">
        <v>0.15029999999999999</v>
      </c>
      <c r="R389" s="10">
        <v>0.05</v>
      </c>
      <c r="S389">
        <f>ROUND(ТабCЕС[[#This Row],[Зелений Тариф ЕЦ]]+ТабCЕС[[#This Row],[Зелений Тариф ЕЦ]]*ТабCЕС[[#This Row],[% надбавки]],4)</f>
        <v>0.1578</v>
      </c>
      <c r="T389" s="8">
        <v>43096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0.93899999999999995</v>
      </c>
      <c r="AB389">
        <v>0.89800000000000002</v>
      </c>
      <c r="AC389">
        <v>0.66300000000000003</v>
      </c>
      <c r="AD389">
        <v>0.31700000000000017</v>
      </c>
      <c r="AE389">
        <v>0.21699999999999964</v>
      </c>
      <c r="AF389">
        <v>0.13200000000000012</v>
      </c>
      <c r="AG389">
        <v>0.182</v>
      </c>
      <c r="AH389">
        <v>0.24399999999999999</v>
      </c>
      <c r="AI389">
        <v>0.48399999999999999</v>
      </c>
      <c r="AJ389">
        <v>0.89500000000000002</v>
      </c>
      <c r="AK389">
        <v>0.96799999999999997</v>
      </c>
      <c r="AL389">
        <v>0.93500000000000005</v>
      </c>
      <c r="AM389">
        <v>0.84199999999999997</v>
      </c>
      <c r="AN389">
        <v>0.94799999999999995</v>
      </c>
      <c r="AO389">
        <v>0.61599999999999999</v>
      </c>
      <c r="AP389">
        <v>0.64300000000000002</v>
      </c>
      <c r="AQ389">
        <v>0.22800000000000001</v>
      </c>
      <c r="AR389">
        <v>0.10299999999999999</v>
      </c>
      <c r="AS389">
        <v>0.14199999999999999</v>
      </c>
      <c r="AT389">
        <v>0.28000000000000003</v>
      </c>
      <c r="AU389">
        <v>0.65900000000000003</v>
      </c>
      <c r="AV389">
        <v>0.86599999999999999</v>
      </c>
      <c r="AW389">
        <v>0.86799999999999999</v>
      </c>
      <c r="AX389">
        <v>0.94099999999999995</v>
      </c>
      <c r="AY389">
        <v>0.98899999999999999</v>
      </c>
      <c r="AZ389">
        <v>0.86399999999999999</v>
      </c>
    </row>
    <row r="390" spans="2:52">
      <c r="C390" t="s">
        <v>58</v>
      </c>
      <c r="D390" t="s">
        <v>384</v>
      </c>
      <c r="F390" s="1" t="s">
        <v>1375</v>
      </c>
      <c r="G390" s="1" t="s">
        <v>1376</v>
      </c>
      <c r="H390" t="s">
        <v>73</v>
      </c>
      <c r="K390" t="s">
        <v>1377</v>
      </c>
      <c r="L390" s="7">
        <v>18.295000000000002</v>
      </c>
      <c r="M390" s="8">
        <v>43403</v>
      </c>
      <c r="N390">
        <v>10</v>
      </c>
      <c r="O390" t="s">
        <v>71</v>
      </c>
      <c r="P390">
        <v>2018</v>
      </c>
      <c r="Q390">
        <v>0.15029999999999999</v>
      </c>
      <c r="R390" s="10">
        <v>0.05</v>
      </c>
      <c r="S390">
        <f>ROUND(ТабCЕС[[#This Row],[Зелений Тариф ЕЦ]]+ТабCЕС[[#This Row],[Зелений Тариф ЕЦ]]*ТабCЕС[[#This Row],[% надбавки]],4)</f>
        <v>0.1578</v>
      </c>
      <c r="T390" s="8">
        <v>43448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0.57099999999999995</v>
      </c>
      <c r="AR390">
        <v>0.41399999999999998</v>
      </c>
      <c r="AS390">
        <v>0.59099999999999997</v>
      </c>
      <c r="AT390">
        <v>1.238</v>
      </c>
      <c r="AU390">
        <v>2.4359999999999999</v>
      </c>
      <c r="AV390">
        <v>2.82</v>
      </c>
      <c r="AW390">
        <v>2.887</v>
      </c>
      <c r="AX390">
        <v>3.1749999999999998</v>
      </c>
      <c r="AY390">
        <v>1.9670000000000001</v>
      </c>
      <c r="AZ390">
        <v>2.984</v>
      </c>
    </row>
    <row r="391" spans="2:52">
      <c r="C391" t="s">
        <v>58</v>
      </c>
      <c r="D391" t="s">
        <v>384</v>
      </c>
      <c r="F391" s="1" t="s">
        <v>1378</v>
      </c>
      <c r="G391" s="1" t="s">
        <v>1379</v>
      </c>
      <c r="H391" t="s">
        <v>65</v>
      </c>
      <c r="K391" t="s">
        <v>1380</v>
      </c>
      <c r="L391" s="7">
        <v>5.5659999999999998</v>
      </c>
      <c r="M391" s="8">
        <v>43641</v>
      </c>
      <c r="N391">
        <v>6</v>
      </c>
      <c r="O391" t="s">
        <v>57</v>
      </c>
      <c r="P391">
        <v>2019</v>
      </c>
      <c r="Q391">
        <v>0.15029999999999999</v>
      </c>
      <c r="R391" s="10"/>
      <c r="S391">
        <f>ROUND(ТабCЕС[[#This Row],[Зелений Тариф ЕЦ]]+ТабCЕС[[#This Row],[Зелений Тариф ЕЦ]]*ТабCЕС[[#This Row],[% надбавки]],4)</f>
        <v>0.15029999999999999</v>
      </c>
      <c r="T391" s="8"/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0.55700000000000005</v>
      </c>
      <c r="AZ391">
        <v>0.77700000000000002</v>
      </c>
    </row>
    <row r="392" spans="2:52">
      <c r="C392" t="s">
        <v>58</v>
      </c>
      <c r="D392" t="s">
        <v>384</v>
      </c>
      <c r="F392" s="1" t="s">
        <v>1381</v>
      </c>
      <c r="G392" s="1" t="s">
        <v>384</v>
      </c>
      <c r="H392" t="s">
        <v>122</v>
      </c>
      <c r="K392" t="s">
        <v>1382</v>
      </c>
      <c r="L392" s="7">
        <v>3.089</v>
      </c>
      <c r="M392" s="8">
        <v>43627</v>
      </c>
      <c r="N392">
        <v>6</v>
      </c>
      <c r="O392" t="s">
        <v>57</v>
      </c>
      <c r="P392">
        <v>2019</v>
      </c>
      <c r="Q392">
        <v>0.15029999999999999</v>
      </c>
      <c r="R392" s="10"/>
      <c r="S392">
        <f>ROUND(ТабCЕС[[#This Row],[Зелений Тариф ЕЦ]]+ТабCЕС[[#This Row],[Зелений Тариф ЕЦ]]*ТабCЕС[[#This Row],[% надбавки]],4)</f>
        <v>0.15029999999999999</v>
      </c>
      <c r="T392" s="8"/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0.25900000000000001</v>
      </c>
      <c r="AZ392">
        <v>0.48399999999999999</v>
      </c>
    </row>
    <row r="393" spans="2:52">
      <c r="C393" t="s">
        <v>58</v>
      </c>
      <c r="D393" t="s">
        <v>384</v>
      </c>
      <c r="F393" s="1" t="s">
        <v>1383</v>
      </c>
      <c r="G393" s="1" t="s">
        <v>1384</v>
      </c>
      <c r="H393" t="s">
        <v>69</v>
      </c>
      <c r="K393" t="s">
        <v>1385</v>
      </c>
      <c r="L393" s="7">
        <v>23.155999999999999</v>
      </c>
      <c r="M393" s="8">
        <v>43581</v>
      </c>
      <c r="N393">
        <v>4</v>
      </c>
      <c r="O393" t="s">
        <v>57</v>
      </c>
      <c r="P393">
        <v>2019</v>
      </c>
      <c r="Q393">
        <v>0.15029999999999999</v>
      </c>
      <c r="R393" s="10"/>
      <c r="S393">
        <f>ROUND(ТабCЕС[[#This Row],[Зелений Тариф ЕЦ]]+ТабCЕС[[#This Row],[Зелений Тариф ЕЦ]]*ТабCЕС[[#This Row],[% надбавки]],4)</f>
        <v>0.15029999999999999</v>
      </c>
      <c r="T393" s="8"/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3.9609999999999999</v>
      </c>
      <c r="AY393">
        <v>3.718</v>
      </c>
      <c r="AZ393">
        <v>3.4590000000000001</v>
      </c>
    </row>
    <row r="394" spans="2:52">
      <c r="C394" t="s">
        <v>58</v>
      </c>
      <c r="D394" t="s">
        <v>384</v>
      </c>
      <c r="F394" s="1" t="s">
        <v>1386</v>
      </c>
      <c r="G394" s="1" t="s">
        <v>1387</v>
      </c>
      <c r="H394" t="s">
        <v>73</v>
      </c>
      <c r="K394" t="s">
        <v>1388</v>
      </c>
      <c r="L394" s="7">
        <v>4.8470000000000004</v>
      </c>
      <c r="M394" s="8">
        <v>43431</v>
      </c>
      <c r="N394">
        <v>11</v>
      </c>
      <c r="O394" t="s">
        <v>71</v>
      </c>
      <c r="P394">
        <v>2018</v>
      </c>
      <c r="Q394">
        <v>0.15029999999999999</v>
      </c>
      <c r="R394" s="10">
        <v>0.05</v>
      </c>
      <c r="S394">
        <f>ROUND(ТабCЕС[[#This Row],[Зелений Тариф ЕЦ]]+ТабCЕС[[#This Row],[Зелений Тариф ЕЦ]]*ТабCЕС[[#This Row],[% надбавки]],4)</f>
        <v>0.1578</v>
      </c>
      <c r="T394" s="8">
        <v>43476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0.63</v>
      </c>
      <c r="AV394">
        <v>0.71599999999999997</v>
      </c>
      <c r="AW394">
        <v>0.80700000000000005</v>
      </c>
      <c r="AX394">
        <v>0.79600000000000004</v>
      </c>
      <c r="AY394">
        <v>0.84199999999999997</v>
      </c>
      <c r="AZ394">
        <v>0.81200000000000006</v>
      </c>
    </row>
    <row r="395" spans="2:52">
      <c r="C395" t="s">
        <v>58</v>
      </c>
      <c r="D395" t="s">
        <v>384</v>
      </c>
      <c r="F395" s="1" t="s">
        <v>1389</v>
      </c>
      <c r="G395" s="1" t="s">
        <v>384</v>
      </c>
      <c r="H395" t="s">
        <v>82</v>
      </c>
      <c r="K395" t="s">
        <v>1390</v>
      </c>
      <c r="L395" s="7">
        <v>3.1349999999999998</v>
      </c>
      <c r="M395" s="8">
        <v>43431</v>
      </c>
      <c r="N395">
        <v>11</v>
      </c>
      <c r="O395" t="s">
        <v>71</v>
      </c>
      <c r="P395">
        <v>2018</v>
      </c>
      <c r="Q395">
        <v>0.15029999999999999</v>
      </c>
      <c r="R395" s="10"/>
      <c r="S395">
        <f>ROUND(ТабCЕС[[#This Row],[Зелений Тариф ЕЦ]]+ТабCЕС[[#This Row],[Зелений Тариф ЕЦ]]*ТабCЕС[[#This Row],[% надбавки]],4)</f>
        <v>0.15029999999999999</v>
      </c>
      <c r="T395" s="8"/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0.155</v>
      </c>
      <c r="AU395">
        <v>0.27900000000000003</v>
      </c>
      <c r="AV395">
        <v>0.47399999999999998</v>
      </c>
      <c r="AW395">
        <v>0.46700000000000003</v>
      </c>
      <c r="AX395">
        <v>0.47699999999999998</v>
      </c>
      <c r="AY395">
        <v>0.48299999999999998</v>
      </c>
      <c r="AZ395">
        <v>0.502</v>
      </c>
    </row>
    <row r="396" spans="2:52">
      <c r="C396" t="s">
        <v>58</v>
      </c>
      <c r="D396" t="s">
        <v>384</v>
      </c>
      <c r="F396" s="1" t="s">
        <v>1391</v>
      </c>
      <c r="G396" s="1" t="s">
        <v>384</v>
      </c>
      <c r="H396" t="s">
        <v>172</v>
      </c>
      <c r="K396" t="s">
        <v>1392</v>
      </c>
      <c r="L396" s="7">
        <v>0.20899999999999999</v>
      </c>
      <c r="M396" s="8">
        <v>43312</v>
      </c>
      <c r="N396">
        <v>7</v>
      </c>
      <c r="O396" t="s">
        <v>60</v>
      </c>
      <c r="P396">
        <v>2018</v>
      </c>
      <c r="Q396">
        <v>0.15029999999999999</v>
      </c>
      <c r="R396" s="10"/>
      <c r="S396">
        <f>ROUND(ТабCЕС[[#This Row],[Зелений Тариф ЕЦ]]+ТабCЕС[[#This Row],[Зелений Тариф ЕЦ]]*ТабCЕС[[#This Row],[% надбавки]],4)</f>
        <v>0.15029999999999999</v>
      </c>
      <c r="T396" s="8"/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0.02</v>
      </c>
      <c r="AP396">
        <v>1.9E-2</v>
      </c>
      <c r="AQ396">
        <v>5.0000000000000001E-3</v>
      </c>
      <c r="AR396">
        <v>3.0000000000000001E-3</v>
      </c>
      <c r="AS396">
        <v>6.0000000000000001E-3</v>
      </c>
      <c r="AT396">
        <v>1.2E-2</v>
      </c>
      <c r="AU396">
        <v>2.5000000000000001E-2</v>
      </c>
      <c r="AV396">
        <v>0.20100000000000001</v>
      </c>
      <c r="AW396">
        <v>0.374</v>
      </c>
      <c r="AX396">
        <v>0.51</v>
      </c>
      <c r="AY396">
        <v>0.49299999999999999</v>
      </c>
      <c r="AZ396">
        <v>0.47499999999999998</v>
      </c>
    </row>
    <row r="397" spans="2:52">
      <c r="C397" t="s">
        <v>58</v>
      </c>
      <c r="D397" t="s">
        <v>384</v>
      </c>
      <c r="F397" s="1" t="s">
        <v>1391</v>
      </c>
      <c r="G397" s="1" t="s">
        <v>384</v>
      </c>
      <c r="H397" t="s">
        <v>172</v>
      </c>
      <c r="K397" t="s">
        <v>1393</v>
      </c>
      <c r="L397" s="7">
        <v>2.8879999999999999</v>
      </c>
      <c r="M397" s="8">
        <v>43553</v>
      </c>
      <c r="N397">
        <v>3</v>
      </c>
      <c r="O397" t="s">
        <v>67</v>
      </c>
      <c r="P397">
        <v>2019</v>
      </c>
      <c r="Q397">
        <v>0.15029999999999999</v>
      </c>
      <c r="R397" s="10"/>
      <c r="S397">
        <f>ROUND(ТабCЕС[[#This Row],[Зелений Тариф ЕЦ]]+ТабCЕС[[#This Row],[Зелений Тариф ЕЦ]]*ТабCЕС[[#This Row],[% надбавки]],4)</f>
        <v>0.15029999999999999</v>
      </c>
      <c r="T397" s="8"/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</row>
    <row r="398" spans="2:52">
      <c r="C398" t="s">
        <v>58</v>
      </c>
      <c r="D398" t="s">
        <v>384</v>
      </c>
      <c r="F398" s="1" t="s">
        <v>1394</v>
      </c>
      <c r="G398" s="1" t="s">
        <v>1395</v>
      </c>
      <c r="H398" t="s">
        <v>98</v>
      </c>
      <c r="K398" t="s">
        <v>1396</v>
      </c>
      <c r="L398" s="7">
        <v>9.94</v>
      </c>
      <c r="M398" s="8">
        <v>43096</v>
      </c>
      <c r="N398">
        <v>12</v>
      </c>
      <c r="O398" t="s">
        <v>71</v>
      </c>
      <c r="P398">
        <v>2017</v>
      </c>
      <c r="Q398">
        <v>0.15029999999999999</v>
      </c>
      <c r="R398" s="10"/>
      <c r="S398">
        <f>ROUND(ТабCЕС[[#This Row],[Зелений Тариф ЕЦ]]+ТабCЕС[[#This Row],[Зелений Тариф ЕЦ]]*ТабCЕС[[#This Row],[% надбавки]],4)</f>
        <v>0.15029999999999999</v>
      </c>
      <c r="T398" s="8"/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0.32500000000000001</v>
      </c>
      <c r="AH398">
        <v>0.32500000000000001</v>
      </c>
      <c r="AI398">
        <v>1.0089999999999999</v>
      </c>
      <c r="AJ398">
        <v>1.47</v>
      </c>
      <c r="AK398">
        <v>1.7170000000000001</v>
      </c>
      <c r="AL398">
        <v>1.385</v>
      </c>
      <c r="AM398">
        <v>1.292</v>
      </c>
      <c r="AN398">
        <v>1.4430000000000001</v>
      </c>
      <c r="AO398">
        <v>1.1919999999999999</v>
      </c>
      <c r="AP398">
        <v>0.88600000000000001</v>
      </c>
      <c r="AQ398">
        <v>0.47499999999999998</v>
      </c>
      <c r="AR398">
        <v>0.126</v>
      </c>
      <c r="AS398">
        <v>0.17499999999999999</v>
      </c>
      <c r="AT398">
        <v>0.70899999999999996</v>
      </c>
      <c r="AU398">
        <v>0.95</v>
      </c>
      <c r="AV398">
        <v>1.321</v>
      </c>
      <c r="AW398">
        <v>1.1100000000000001</v>
      </c>
      <c r="AX398">
        <v>1.653</v>
      </c>
      <c r="AY398">
        <v>1.462</v>
      </c>
      <c r="AZ398">
        <v>1.4990000000000001</v>
      </c>
    </row>
    <row r="399" spans="2:52">
      <c r="B399" t="s">
        <v>1397</v>
      </c>
      <c r="C399">
        <v>36687375</v>
      </c>
      <c r="D399" t="s">
        <v>384</v>
      </c>
      <c r="F399" s="1" t="s">
        <v>61</v>
      </c>
      <c r="G399" s="1" t="s">
        <v>384</v>
      </c>
      <c r="H399" t="s">
        <v>62</v>
      </c>
      <c r="K399" t="s">
        <v>1398</v>
      </c>
      <c r="L399" s="7">
        <v>0.13400000000000001</v>
      </c>
      <c r="M399" s="8">
        <v>41389</v>
      </c>
      <c r="N399">
        <v>4</v>
      </c>
      <c r="O399" t="s">
        <v>57</v>
      </c>
      <c r="P399">
        <v>2013</v>
      </c>
      <c r="Q399">
        <v>0.44590000000000002</v>
      </c>
      <c r="R399" s="10"/>
      <c r="S399">
        <f>ROUND(ТабCЕС[[#This Row],[Зелений Тариф ЕЦ]]+ТабCЕС[[#This Row],[Зелений Тариф ЕЦ]]*ТабCЕС[[#This Row],[% надбавки]],4)</f>
        <v>0.44590000000000002</v>
      </c>
      <c r="T399" s="8"/>
      <c r="U399">
        <v>2E-3</v>
      </c>
      <c r="V399">
        <v>5.0000000000000001E-3</v>
      </c>
      <c r="W399">
        <v>8.0000000000000002E-3</v>
      </c>
      <c r="X399">
        <v>1.6E-2</v>
      </c>
      <c r="Y399">
        <v>1.8000000000000002E-2</v>
      </c>
      <c r="Z399">
        <v>2.1000000000000005E-2</v>
      </c>
      <c r="AA399">
        <v>1.999999999999999E-2</v>
      </c>
      <c r="AB399">
        <v>1.8000000000000002E-2</v>
      </c>
      <c r="AC399">
        <v>1.1999999999999997E-2</v>
      </c>
      <c r="AD399">
        <v>8.0000000000000071E-3</v>
      </c>
      <c r="AE399">
        <v>2.0000000000000018E-3</v>
      </c>
      <c r="AF399">
        <v>2.0000000000000018E-3</v>
      </c>
      <c r="AG399">
        <v>1E-3</v>
      </c>
      <c r="AH399">
        <v>1E-3</v>
      </c>
      <c r="AI399">
        <v>6.0000000000000001E-3</v>
      </c>
      <c r="AJ399">
        <v>1.7999999999999999E-2</v>
      </c>
      <c r="AK399">
        <v>0.02</v>
      </c>
      <c r="AL399">
        <v>1.7999999999999999E-2</v>
      </c>
      <c r="AM399">
        <v>1.7000000000000001E-2</v>
      </c>
      <c r="AN399">
        <v>1.9E-2</v>
      </c>
      <c r="AO399">
        <v>1.2999999999999999E-2</v>
      </c>
      <c r="AP399">
        <v>0.01</v>
      </c>
      <c r="AQ399">
        <v>3.0000000000000001E-3</v>
      </c>
      <c r="AR399">
        <v>0</v>
      </c>
      <c r="AS399">
        <v>2E-3</v>
      </c>
      <c r="AT399">
        <v>6.0000000000000001E-3</v>
      </c>
      <c r="AU399">
        <v>1.0999999999999999E-2</v>
      </c>
      <c r="AV399">
        <v>1.6E-2</v>
      </c>
      <c r="AW399">
        <v>1.4999999999999999E-2</v>
      </c>
      <c r="AX399">
        <v>2.1000000000000001E-2</v>
      </c>
      <c r="AY399">
        <v>2.1000000000000001E-2</v>
      </c>
      <c r="AZ399">
        <v>1.9E-2</v>
      </c>
    </row>
    <row r="400" spans="2:52">
      <c r="B400" t="s">
        <v>1399</v>
      </c>
      <c r="C400">
        <v>30279204</v>
      </c>
      <c r="D400" t="s">
        <v>384</v>
      </c>
      <c r="F400" s="1" t="s">
        <v>760</v>
      </c>
      <c r="G400" s="1" t="s">
        <v>384</v>
      </c>
      <c r="H400" t="s">
        <v>198</v>
      </c>
      <c r="K400" t="s">
        <v>1400</v>
      </c>
      <c r="L400" s="7">
        <v>0.64800000000000002</v>
      </c>
      <c r="M400" s="8">
        <v>41557</v>
      </c>
      <c r="N400">
        <v>10</v>
      </c>
      <c r="O400" t="s">
        <v>71</v>
      </c>
      <c r="P400">
        <v>2013</v>
      </c>
      <c r="Q400">
        <v>0.34899999999999998</v>
      </c>
      <c r="R400" s="10"/>
      <c r="S400">
        <f>ROUND(ТабCЕС[[#This Row],[Зелений Тариф ЕЦ]]+ТабCЕС[[#This Row],[Зелений Тариф ЕЦ]]*ТабCЕС[[#This Row],[% надбавки]],4)</f>
        <v>0.34899999999999998</v>
      </c>
      <c r="T400" s="8"/>
      <c r="U400">
        <v>2.5999999999999999E-2</v>
      </c>
      <c r="V400">
        <v>3.9000000000000007E-2</v>
      </c>
      <c r="W400">
        <v>7.8999999999999987E-2</v>
      </c>
      <c r="X400">
        <v>0.12200000000000003</v>
      </c>
      <c r="Y400">
        <v>0.13600000000000001</v>
      </c>
      <c r="Z400">
        <v>0.14500000000000002</v>
      </c>
      <c r="AA400">
        <v>0.1409999999999999</v>
      </c>
      <c r="AB400">
        <v>0.13900000000000001</v>
      </c>
      <c r="AC400">
        <v>9.6000000000000085E-2</v>
      </c>
      <c r="AD400">
        <v>4.6999999999999931E-2</v>
      </c>
      <c r="AE400">
        <v>2.5000000000000022E-2</v>
      </c>
      <c r="AF400">
        <v>1.19999999999999E-2</v>
      </c>
      <c r="AG400">
        <v>2.8000000000000001E-2</v>
      </c>
      <c r="AH400">
        <v>0.04</v>
      </c>
      <c r="AI400">
        <v>0.04</v>
      </c>
      <c r="AJ400">
        <v>0.108</v>
      </c>
      <c r="AK400">
        <v>0.16800000000000001</v>
      </c>
      <c r="AL400">
        <v>0.14599999999999999</v>
      </c>
      <c r="AM400">
        <v>0.13300000000000001</v>
      </c>
      <c r="AN400">
        <v>0.14299999999999999</v>
      </c>
      <c r="AO400">
        <v>9.5000000000000001E-2</v>
      </c>
      <c r="AP400">
        <v>0.08</v>
      </c>
      <c r="AQ400">
        <v>2.3E-2</v>
      </c>
      <c r="AR400">
        <v>7.0000000000000001E-3</v>
      </c>
      <c r="AS400">
        <v>8.9999999999999993E-3</v>
      </c>
      <c r="AT400">
        <v>4.2000000000000003E-2</v>
      </c>
      <c r="AU400">
        <v>7.3999999999999996E-2</v>
      </c>
      <c r="AV400">
        <v>0.111</v>
      </c>
      <c r="AW400">
        <v>0.1</v>
      </c>
      <c r="AX400">
        <v>0.152</v>
      </c>
      <c r="AY400">
        <v>0.12</v>
      </c>
      <c r="AZ400">
        <v>0.127</v>
      </c>
    </row>
    <row r="401" spans="2:52">
      <c r="B401" t="s">
        <v>1401</v>
      </c>
      <c r="C401">
        <v>34952770</v>
      </c>
      <c r="D401" t="s">
        <v>384</v>
      </c>
      <c r="F401" s="1" t="s">
        <v>1402</v>
      </c>
      <c r="G401" s="1" t="s">
        <v>384</v>
      </c>
      <c r="H401" t="s">
        <v>185</v>
      </c>
      <c r="K401" t="s">
        <v>1403</v>
      </c>
      <c r="L401" s="7">
        <v>0.107</v>
      </c>
      <c r="M401" s="8">
        <v>41634</v>
      </c>
      <c r="N401">
        <v>12</v>
      </c>
      <c r="O401" t="s">
        <v>71</v>
      </c>
      <c r="P401">
        <v>2013</v>
      </c>
      <c r="Q401">
        <v>0.44590000000000002</v>
      </c>
      <c r="R401" s="10"/>
      <c r="S401">
        <f>ROUND(ТабCЕС[[#This Row],[Зелений Тариф ЕЦ]]+ТабCЕС[[#This Row],[Зелений Тариф ЕЦ]]*ТабCЕС[[#This Row],[% надбавки]],4)</f>
        <v>0.44590000000000002</v>
      </c>
      <c r="T401" s="8"/>
      <c r="U401">
        <v>0</v>
      </c>
      <c r="V401">
        <v>2E-3</v>
      </c>
      <c r="W401">
        <v>3.0000000000000001E-3</v>
      </c>
      <c r="X401">
        <v>9.0000000000000011E-3</v>
      </c>
      <c r="Y401">
        <v>1.1999999999999999E-2</v>
      </c>
      <c r="Z401">
        <v>1.2E-2</v>
      </c>
      <c r="AA401">
        <v>1.1000000000000003E-2</v>
      </c>
      <c r="AB401">
        <v>1.0999999999999996E-2</v>
      </c>
      <c r="AC401">
        <v>1.0000000000000009E-2</v>
      </c>
      <c r="AD401">
        <v>2.9999999999999888E-3</v>
      </c>
      <c r="AE401">
        <v>1.0000000000000009E-3</v>
      </c>
      <c r="AF401">
        <v>0</v>
      </c>
      <c r="AG401">
        <v>0</v>
      </c>
      <c r="AH401">
        <v>2E-3</v>
      </c>
      <c r="AI401">
        <v>5.0000000000000001E-3</v>
      </c>
      <c r="AJ401">
        <v>0.01</v>
      </c>
      <c r="AK401">
        <v>1.2999999999999999E-2</v>
      </c>
      <c r="AL401">
        <v>1.2999999999999999E-2</v>
      </c>
      <c r="AM401">
        <v>1.2E-2</v>
      </c>
      <c r="AN401">
        <v>1.2999999999999999E-2</v>
      </c>
      <c r="AO401">
        <v>8.9999999999999993E-3</v>
      </c>
      <c r="AP401">
        <v>6.0000000000000001E-3</v>
      </c>
      <c r="AQ401">
        <v>1E-3</v>
      </c>
      <c r="AR401">
        <v>0</v>
      </c>
      <c r="AS401">
        <v>0</v>
      </c>
      <c r="AT401">
        <v>2E-3</v>
      </c>
      <c r="AU401">
        <v>7.0000000000000001E-3</v>
      </c>
      <c r="AV401">
        <v>1.2E-2</v>
      </c>
      <c r="AW401">
        <v>1.2E-2</v>
      </c>
      <c r="AX401">
        <v>1.2E-2</v>
      </c>
      <c r="AY401">
        <v>0</v>
      </c>
      <c r="AZ401">
        <v>3.0000000000000001E-3</v>
      </c>
    </row>
    <row r="402" spans="2:52">
      <c r="B402" t="s">
        <v>1404</v>
      </c>
      <c r="C402">
        <v>36687375</v>
      </c>
      <c r="D402" t="s">
        <v>384</v>
      </c>
      <c r="F402" s="1" t="s">
        <v>61</v>
      </c>
      <c r="G402" s="1" t="s">
        <v>384</v>
      </c>
      <c r="H402" t="s">
        <v>62</v>
      </c>
      <c r="K402" t="s">
        <v>1405</v>
      </c>
      <c r="L402" s="7">
        <v>2.3E-2</v>
      </c>
      <c r="M402" s="8">
        <v>41270</v>
      </c>
      <c r="N402">
        <v>12</v>
      </c>
      <c r="O402" t="s">
        <v>71</v>
      </c>
      <c r="P402">
        <v>2012</v>
      </c>
      <c r="Q402">
        <v>0.42649999999999999</v>
      </c>
      <c r="R402" s="10"/>
      <c r="S402">
        <f>ROUND(ТабCЕС[[#This Row],[Зелений Тариф ЕЦ]]+ТабCЕС[[#This Row],[Зелений Тариф ЕЦ]]*ТабCЕС[[#This Row],[% надбавки]],4)</f>
        <v>0.42649999999999999</v>
      </c>
      <c r="T402" s="8"/>
      <c r="U402">
        <v>2E-3</v>
      </c>
      <c r="V402">
        <v>9.9999999999999568E-4</v>
      </c>
      <c r="W402">
        <v>4.3368086899420177E-18</v>
      </c>
      <c r="X402">
        <v>2E-3</v>
      </c>
      <c r="Y402">
        <v>3.0000000000000001E-3</v>
      </c>
      <c r="Z402">
        <v>2.9999999999999992E-3</v>
      </c>
      <c r="AA402">
        <v>3.0000000000000009E-3</v>
      </c>
      <c r="AB402">
        <v>3.0000000000000009E-3</v>
      </c>
      <c r="AC402">
        <v>1.9999999999999983E-3</v>
      </c>
      <c r="AD402">
        <v>1.0000000000000009E-3</v>
      </c>
      <c r="AE402">
        <v>0</v>
      </c>
      <c r="AF402">
        <v>0</v>
      </c>
      <c r="AG402">
        <v>0</v>
      </c>
      <c r="AH402">
        <v>0</v>
      </c>
      <c r="AI402">
        <v>1E-3</v>
      </c>
      <c r="AJ402">
        <v>3.0000000000000001E-3</v>
      </c>
      <c r="AK402">
        <v>3.0000000000000001E-3</v>
      </c>
      <c r="AL402">
        <v>3.0000000000000001E-3</v>
      </c>
      <c r="AM402">
        <v>3.0000000000000001E-3</v>
      </c>
      <c r="AN402">
        <v>3.0000000000000001E-3</v>
      </c>
      <c r="AO402">
        <v>2E-3</v>
      </c>
      <c r="AP402">
        <v>1E-3</v>
      </c>
      <c r="AQ402">
        <v>0</v>
      </c>
      <c r="AR402">
        <v>0</v>
      </c>
      <c r="AS402">
        <v>0</v>
      </c>
      <c r="AT402">
        <v>1E-3</v>
      </c>
      <c r="AU402">
        <v>2E-3</v>
      </c>
      <c r="AV402">
        <v>3.0000000000000001E-3</v>
      </c>
      <c r="AW402">
        <v>2E-3</v>
      </c>
      <c r="AX402">
        <v>3.0000000000000001E-3</v>
      </c>
      <c r="AY402">
        <v>3.0000000000000001E-3</v>
      </c>
      <c r="AZ402">
        <v>3.0000000000000001E-3</v>
      </c>
    </row>
    <row r="403" spans="2:52">
      <c r="B403" t="s">
        <v>1406</v>
      </c>
      <c r="C403">
        <v>36687375</v>
      </c>
      <c r="D403" t="s">
        <v>384</v>
      </c>
      <c r="F403" s="1" t="s">
        <v>61</v>
      </c>
      <c r="G403" s="1" t="s">
        <v>1407</v>
      </c>
      <c r="H403" t="s">
        <v>62</v>
      </c>
      <c r="K403" t="s">
        <v>1408</v>
      </c>
      <c r="L403" s="7">
        <v>9.9000000000000005E-2</v>
      </c>
      <c r="M403" s="8">
        <v>41868</v>
      </c>
      <c r="N403">
        <v>8</v>
      </c>
      <c r="O403" t="s">
        <v>60</v>
      </c>
      <c r="P403">
        <v>2014</v>
      </c>
      <c r="Q403">
        <v>0.35870000000000002</v>
      </c>
      <c r="R403" s="10"/>
      <c r="S403">
        <f>ROUND(ТабCЕС[[#This Row],[Зелений Тариф ЕЦ]]+ТабCЕС[[#This Row],[Зелений Тариф ЕЦ]]*ТабCЕС[[#This Row],[% надбавки]],4)</f>
        <v>0.35870000000000002</v>
      </c>
      <c r="T403" s="8"/>
      <c r="U403">
        <v>1.2999999999999999E-2</v>
      </c>
      <c r="V403">
        <v>2.8000000000000004E-2</v>
      </c>
      <c r="W403">
        <v>4.7999999999999994E-2</v>
      </c>
      <c r="X403">
        <v>7.3000000000000009E-2</v>
      </c>
      <c r="Y403">
        <v>8.3999999999999991E-2</v>
      </c>
      <c r="Z403">
        <v>9.2000000000000026E-2</v>
      </c>
      <c r="AA403">
        <v>8.6999999999999966E-2</v>
      </c>
      <c r="AB403">
        <v>8.500000000000002E-2</v>
      </c>
      <c r="AC403">
        <v>5.5999999999999939E-2</v>
      </c>
      <c r="AD403">
        <v>3.8000000000000034E-2</v>
      </c>
      <c r="AE403">
        <v>1.3000000000000012E-2</v>
      </c>
      <c r="AF403">
        <v>8.0000000000000071E-3</v>
      </c>
      <c r="AG403">
        <v>1.0999999999999999E-2</v>
      </c>
      <c r="AH403">
        <v>5.0000000000000001E-3</v>
      </c>
      <c r="AI403">
        <v>3.3000000000000002E-2</v>
      </c>
      <c r="AJ403">
        <v>8.4000000000000005E-2</v>
      </c>
      <c r="AK403">
        <v>8.8999999999999996E-2</v>
      </c>
      <c r="AL403">
        <v>7.8E-2</v>
      </c>
      <c r="AM403">
        <v>7.8E-2</v>
      </c>
      <c r="AN403">
        <v>8.5000000000000006E-2</v>
      </c>
      <c r="AO403">
        <v>0.06</v>
      </c>
      <c r="AP403">
        <v>4.9000000000000002E-2</v>
      </c>
      <c r="AQ403">
        <v>0.01</v>
      </c>
      <c r="AR403">
        <v>3.0000000000000001E-3</v>
      </c>
      <c r="AS403">
        <v>8.0000000000000002E-3</v>
      </c>
      <c r="AT403">
        <v>2.9000000000000001E-2</v>
      </c>
      <c r="AU403">
        <v>0.05</v>
      </c>
      <c r="AV403">
        <v>7.2999999999999995E-2</v>
      </c>
      <c r="AW403">
        <v>7.3999999999999996E-2</v>
      </c>
      <c r="AX403">
        <v>9.9000000000000005E-2</v>
      </c>
      <c r="AY403">
        <v>9.2999999999999999E-2</v>
      </c>
      <c r="AZ403">
        <v>8.4000000000000005E-2</v>
      </c>
    </row>
    <row r="404" spans="2:52">
      <c r="B404" t="s">
        <v>1409</v>
      </c>
      <c r="C404">
        <v>36687375</v>
      </c>
      <c r="D404" t="s">
        <v>384</v>
      </c>
      <c r="F404" s="1" t="s">
        <v>61</v>
      </c>
      <c r="G404" s="1" t="s">
        <v>1410</v>
      </c>
      <c r="H404" t="s">
        <v>62</v>
      </c>
      <c r="K404" t="s">
        <v>1411</v>
      </c>
      <c r="L404" s="7">
        <v>5.8999999999999997E-2</v>
      </c>
      <c r="M404" s="8">
        <v>41868</v>
      </c>
      <c r="N404">
        <v>8</v>
      </c>
      <c r="O404" t="s">
        <v>60</v>
      </c>
      <c r="P404">
        <v>2014</v>
      </c>
      <c r="Q404">
        <v>0.35870000000000002</v>
      </c>
      <c r="R404" s="10"/>
      <c r="S404">
        <f>ROUND(ТабCЕС[[#This Row],[Зелений Тариф ЕЦ]]+ТабCЕС[[#This Row],[Зелений Тариф ЕЦ]]*ТабCЕС[[#This Row],[% надбавки]],4)</f>
        <v>0.35870000000000002</v>
      </c>
      <c r="T404" s="8"/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</row>
    <row r="405" spans="2:52">
      <c r="B405" t="s">
        <v>1412</v>
      </c>
      <c r="C405">
        <v>36687375</v>
      </c>
      <c r="D405" t="s">
        <v>384</v>
      </c>
      <c r="F405" s="1" t="s">
        <v>61</v>
      </c>
      <c r="G405" s="1" t="s">
        <v>1413</v>
      </c>
      <c r="H405" t="s">
        <v>62</v>
      </c>
      <c r="K405" t="s">
        <v>1414</v>
      </c>
      <c r="L405" s="7">
        <v>9.9000000000000005E-2</v>
      </c>
      <c r="M405" s="8">
        <v>41868</v>
      </c>
      <c r="N405">
        <v>8</v>
      </c>
      <c r="O405" t="s">
        <v>60</v>
      </c>
      <c r="P405">
        <v>2014</v>
      </c>
      <c r="Q405">
        <v>0.35870000000000002</v>
      </c>
      <c r="R405" s="10"/>
      <c r="S405">
        <f>ROUND(ТабCЕС[[#This Row],[Зелений Тариф ЕЦ]]+ТабCЕС[[#This Row],[Зелений Тариф ЕЦ]]*ТабCЕС[[#This Row],[% надбавки]],4)</f>
        <v>0.35870000000000002</v>
      </c>
      <c r="T405" s="8"/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</row>
    <row r="406" spans="2:52">
      <c r="B406" t="s">
        <v>1415</v>
      </c>
      <c r="C406">
        <v>36687375</v>
      </c>
      <c r="D406" t="s">
        <v>384</v>
      </c>
      <c r="F406" s="1" t="s">
        <v>61</v>
      </c>
      <c r="G406" s="1" t="s">
        <v>1416</v>
      </c>
      <c r="H406" t="s">
        <v>62</v>
      </c>
      <c r="K406" t="s">
        <v>1417</v>
      </c>
      <c r="L406" s="7">
        <v>0.1</v>
      </c>
      <c r="M406" s="8">
        <v>42061</v>
      </c>
      <c r="N406">
        <v>2</v>
      </c>
      <c r="O406" t="s">
        <v>67</v>
      </c>
      <c r="P406">
        <v>2015</v>
      </c>
      <c r="Q406">
        <v>0.35870000000000002</v>
      </c>
      <c r="R406" s="10"/>
      <c r="S406">
        <f>ROUND(ТабCЕС[[#This Row],[Зелений Тариф ЕЦ]]+ТабCЕС[[#This Row],[Зелений Тариф ЕЦ]]*ТабCЕС[[#This Row],[% надбавки]],4)</f>
        <v>0.35870000000000002</v>
      </c>
      <c r="T406" s="8"/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</row>
    <row r="407" spans="2:52">
      <c r="B407" t="s">
        <v>1418</v>
      </c>
      <c r="C407">
        <v>36687375</v>
      </c>
      <c r="D407" t="s">
        <v>384</v>
      </c>
      <c r="F407" s="1" t="s">
        <v>61</v>
      </c>
      <c r="G407" s="1" t="s">
        <v>1419</v>
      </c>
      <c r="H407" t="s">
        <v>62</v>
      </c>
      <c r="K407" t="s">
        <v>1420</v>
      </c>
      <c r="L407" s="7">
        <v>0.1</v>
      </c>
      <c r="M407" s="8">
        <v>42061</v>
      </c>
      <c r="N407">
        <v>2</v>
      </c>
      <c r="O407" t="s">
        <v>67</v>
      </c>
      <c r="P407">
        <v>2015</v>
      </c>
      <c r="Q407">
        <v>0.35870000000000002</v>
      </c>
      <c r="R407" s="10"/>
      <c r="S407">
        <f>ROUND(ТабCЕС[[#This Row],[Зелений Тариф ЕЦ]]+ТабCЕС[[#This Row],[Зелений Тариф ЕЦ]]*ТабCЕС[[#This Row],[% надбавки]],4)</f>
        <v>0.35870000000000002</v>
      </c>
      <c r="T407" s="8"/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</row>
    <row r="408" spans="2:52">
      <c r="B408" t="s">
        <v>1421</v>
      </c>
      <c r="C408">
        <v>36687375</v>
      </c>
      <c r="D408" t="s">
        <v>384</v>
      </c>
      <c r="F408" s="1" t="s">
        <v>61</v>
      </c>
      <c r="G408" s="1" t="s">
        <v>1422</v>
      </c>
      <c r="H408" t="s">
        <v>62</v>
      </c>
      <c r="K408" t="s">
        <v>1423</v>
      </c>
      <c r="L408" s="7">
        <v>0.1</v>
      </c>
      <c r="M408" s="8">
        <v>41868</v>
      </c>
      <c r="N408">
        <v>8</v>
      </c>
      <c r="O408" t="s">
        <v>60</v>
      </c>
      <c r="P408">
        <v>2014</v>
      </c>
      <c r="Q408">
        <v>0.35870000000000002</v>
      </c>
      <c r="R408" s="10"/>
      <c r="S408">
        <f>ROUND(ТабCЕС[[#This Row],[Зелений Тариф ЕЦ]]+ТабCЕС[[#This Row],[Зелений Тариф ЕЦ]]*ТабCЕС[[#This Row],[% надбавки]],4)</f>
        <v>0.35870000000000002</v>
      </c>
      <c r="T408" s="8"/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</row>
    <row r="409" spans="2:52">
      <c r="B409" t="s">
        <v>1424</v>
      </c>
      <c r="C409">
        <v>36687375</v>
      </c>
      <c r="D409" t="s">
        <v>384</v>
      </c>
      <c r="F409" s="1" t="s">
        <v>61</v>
      </c>
      <c r="G409" s="1" t="s">
        <v>1425</v>
      </c>
      <c r="H409" t="s">
        <v>62</v>
      </c>
      <c r="K409" t="s">
        <v>1426</v>
      </c>
      <c r="L409" s="7">
        <v>4.3999999999999997E-2</v>
      </c>
      <c r="M409" s="8">
        <v>41868</v>
      </c>
      <c r="N409">
        <v>8</v>
      </c>
      <c r="O409" t="s">
        <v>60</v>
      </c>
      <c r="P409">
        <v>2014</v>
      </c>
      <c r="Q409">
        <v>0.35870000000000002</v>
      </c>
      <c r="R409" s="10"/>
      <c r="S409">
        <f>ROUND(ТабCЕС[[#This Row],[Зелений Тариф ЕЦ]]+ТабCЕС[[#This Row],[Зелений Тариф ЕЦ]]*ТабCЕС[[#This Row],[% надбавки]],4)</f>
        <v>0.35870000000000002</v>
      </c>
      <c r="T409" s="8"/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</row>
    <row r="410" spans="2:52">
      <c r="B410" t="s">
        <v>1427</v>
      </c>
      <c r="C410">
        <v>34524327</v>
      </c>
      <c r="D410" t="s">
        <v>384</v>
      </c>
      <c r="F410" s="1" t="s">
        <v>497</v>
      </c>
      <c r="G410" s="1" t="s">
        <v>1428</v>
      </c>
      <c r="H410" t="s">
        <v>69</v>
      </c>
      <c r="K410" t="s">
        <v>1429</v>
      </c>
      <c r="L410" s="7">
        <v>1.6E-2</v>
      </c>
      <c r="M410" s="8">
        <v>41620</v>
      </c>
      <c r="N410">
        <v>12</v>
      </c>
      <c r="O410" t="s">
        <v>71</v>
      </c>
      <c r="P410">
        <v>2013</v>
      </c>
      <c r="Q410">
        <v>0.35870000000000002</v>
      </c>
      <c r="R410" s="10"/>
      <c r="S410">
        <f>ROUND(ТабCЕС[[#This Row],[Зелений Тариф ЕЦ]]+ТабCЕС[[#This Row],[Зелений Тариф ЕЦ]]*ТабCЕС[[#This Row],[% надбавки]],4)</f>
        <v>0.35870000000000002</v>
      </c>
      <c r="T410" s="8"/>
      <c r="U410">
        <v>2E-3</v>
      </c>
      <c r="V410">
        <v>3.0000000000000001E-3</v>
      </c>
      <c r="W410">
        <v>5.0000000000000001E-3</v>
      </c>
      <c r="X410">
        <v>6.0000000000000001E-3</v>
      </c>
      <c r="Y410">
        <v>8.0000000000000002E-3</v>
      </c>
      <c r="Z410">
        <v>8.0000000000000002E-3</v>
      </c>
      <c r="AA410">
        <v>6.9999999999999993E-3</v>
      </c>
      <c r="AB410">
        <v>6.9999999999999993E-3</v>
      </c>
      <c r="AC410">
        <v>5.9999999999999984E-3</v>
      </c>
      <c r="AD410">
        <v>3.0000000000000027E-3</v>
      </c>
      <c r="AE410">
        <v>3.0000000000000027E-3</v>
      </c>
      <c r="AF410">
        <v>9.9999999999999395E-4</v>
      </c>
      <c r="AG410">
        <v>2E-3</v>
      </c>
      <c r="AH410">
        <v>2E-3</v>
      </c>
      <c r="AI410">
        <v>4.0000000000000001E-3</v>
      </c>
      <c r="AJ410">
        <v>7.0000000000000001E-3</v>
      </c>
      <c r="AK410">
        <v>7.0000000000000001E-3</v>
      </c>
      <c r="AL410">
        <v>8.0000000000000002E-3</v>
      </c>
      <c r="AM410">
        <v>7.0000000000000001E-3</v>
      </c>
      <c r="AN410">
        <v>7.0000000000000001E-3</v>
      </c>
      <c r="AO410">
        <v>5.0000000000000001E-3</v>
      </c>
      <c r="AP410">
        <v>5.0000000000000001E-3</v>
      </c>
      <c r="AQ410">
        <v>2E-3</v>
      </c>
      <c r="AR410">
        <v>1E-3</v>
      </c>
      <c r="AS410">
        <v>1E-3</v>
      </c>
      <c r="AT410">
        <v>3.0000000000000001E-3</v>
      </c>
      <c r="AU410">
        <v>6.0000000000000001E-3</v>
      </c>
      <c r="AV410">
        <v>7.0000000000000001E-3</v>
      </c>
      <c r="AW410">
        <v>7.0000000000000001E-3</v>
      </c>
      <c r="AX410">
        <v>6.0000000000000001E-3</v>
      </c>
      <c r="AY410">
        <v>0</v>
      </c>
      <c r="AZ410">
        <v>2E-3</v>
      </c>
    </row>
    <row r="411" spans="2:52">
      <c r="B411" t="s">
        <v>1430</v>
      </c>
      <c r="C411">
        <v>34524327</v>
      </c>
      <c r="D411" t="s">
        <v>384</v>
      </c>
      <c r="F411" s="1" t="s">
        <v>497</v>
      </c>
      <c r="G411" s="1" t="s">
        <v>1431</v>
      </c>
      <c r="H411" t="s">
        <v>69</v>
      </c>
      <c r="K411" t="s">
        <v>1432</v>
      </c>
      <c r="L411" s="7">
        <v>1.6E-2</v>
      </c>
      <c r="M411" s="8">
        <v>41620</v>
      </c>
      <c r="N411">
        <v>12</v>
      </c>
      <c r="O411" t="s">
        <v>71</v>
      </c>
      <c r="P411">
        <v>2013</v>
      </c>
      <c r="Q411">
        <v>0.35870000000000002</v>
      </c>
      <c r="R411" s="10"/>
      <c r="S411">
        <f>ROUND(ТабCЕС[[#This Row],[Зелений Тариф ЕЦ]]+ТабCЕС[[#This Row],[Зелений Тариф ЕЦ]]*ТабCЕС[[#This Row],[% надбавки]],4)</f>
        <v>0.35870000000000002</v>
      </c>
      <c r="T411" s="8"/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</row>
    <row r="412" spans="2:52">
      <c r="B412" t="s">
        <v>1433</v>
      </c>
      <c r="C412">
        <v>34524327</v>
      </c>
      <c r="D412" t="s">
        <v>384</v>
      </c>
      <c r="F412" s="1" t="s">
        <v>497</v>
      </c>
      <c r="G412" s="1" t="s">
        <v>1434</v>
      </c>
      <c r="H412" t="s">
        <v>69</v>
      </c>
      <c r="K412" t="s">
        <v>1435</v>
      </c>
      <c r="L412" s="7">
        <v>1.6E-2</v>
      </c>
      <c r="M412" s="8">
        <v>41620</v>
      </c>
      <c r="N412">
        <v>12</v>
      </c>
      <c r="O412" t="s">
        <v>71</v>
      </c>
      <c r="P412">
        <v>2013</v>
      </c>
      <c r="Q412">
        <v>0.35870000000000002</v>
      </c>
      <c r="R412" s="10"/>
      <c r="S412">
        <f>ROUND(ТабCЕС[[#This Row],[Зелений Тариф ЕЦ]]+ТабCЕС[[#This Row],[Зелений Тариф ЕЦ]]*ТабCЕС[[#This Row],[% надбавки]],4)</f>
        <v>0.35870000000000002</v>
      </c>
      <c r="T412" s="8"/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</row>
    <row r="413" spans="2:52">
      <c r="C413" t="s">
        <v>58</v>
      </c>
      <c r="D413" t="s">
        <v>384</v>
      </c>
      <c r="F413" s="1" t="s">
        <v>1436</v>
      </c>
      <c r="G413" s="1" t="s">
        <v>384</v>
      </c>
      <c r="H413" t="s">
        <v>198</v>
      </c>
      <c r="K413" t="s">
        <v>1437</v>
      </c>
      <c r="L413" s="7">
        <v>3.5000000000000003E-2</v>
      </c>
      <c r="M413" s="8">
        <v>40544</v>
      </c>
      <c r="N413">
        <v>1</v>
      </c>
      <c r="O413" t="s">
        <v>67</v>
      </c>
      <c r="P413">
        <v>2011</v>
      </c>
      <c r="Q413">
        <v>0.42649999999999999</v>
      </c>
      <c r="R413" s="10"/>
      <c r="S413">
        <f>ROUND(ТабCЕС[[#This Row],[Зелений Тариф ЕЦ]]+ТабCЕС[[#This Row],[Зелений Тариф ЕЦ]]*ТабCЕС[[#This Row],[% надбавки]],4)</f>
        <v>0.42649999999999999</v>
      </c>
      <c r="T413" s="8"/>
      <c r="U413">
        <v>1E-3</v>
      </c>
      <c r="V413">
        <v>1E-3</v>
      </c>
      <c r="W413">
        <v>2E-3</v>
      </c>
      <c r="X413">
        <v>4.0000000000000001E-3</v>
      </c>
      <c r="Y413">
        <v>4.0000000000000001E-3</v>
      </c>
      <c r="Z413">
        <v>4.0000000000000001E-3</v>
      </c>
      <c r="AA413">
        <v>5.9999999999999984E-3</v>
      </c>
      <c r="AB413">
        <v>5.000000000000001E-3</v>
      </c>
      <c r="AC413">
        <v>2.9999999999999992E-3</v>
      </c>
      <c r="AD413">
        <v>2.0000000000000018E-3</v>
      </c>
      <c r="AE413">
        <v>0</v>
      </c>
      <c r="AF413">
        <v>1.0000000000000009E-3</v>
      </c>
      <c r="AG413">
        <v>1E-3</v>
      </c>
      <c r="AH413">
        <v>1E-3</v>
      </c>
      <c r="AI413">
        <v>2E-3</v>
      </c>
      <c r="AJ413">
        <v>4.0000000000000001E-3</v>
      </c>
      <c r="AK413">
        <v>5.0000000000000001E-3</v>
      </c>
      <c r="AL413">
        <v>4.0000000000000001E-3</v>
      </c>
      <c r="AM413">
        <v>4.0000000000000001E-3</v>
      </c>
      <c r="AN413">
        <v>5.0000000000000001E-3</v>
      </c>
      <c r="AO413">
        <v>3.0000000000000001E-3</v>
      </c>
      <c r="AP413">
        <v>3.0000000000000001E-3</v>
      </c>
      <c r="AQ413">
        <v>1E-3</v>
      </c>
      <c r="AR413">
        <v>0</v>
      </c>
      <c r="AS413">
        <v>0</v>
      </c>
      <c r="AT413">
        <v>1E-3</v>
      </c>
      <c r="AU413">
        <v>2E-3</v>
      </c>
      <c r="AV413">
        <v>4.0000000000000001E-3</v>
      </c>
      <c r="AW413">
        <v>3.0000000000000001E-3</v>
      </c>
      <c r="AX413">
        <v>5.0000000000000001E-3</v>
      </c>
      <c r="AY413">
        <v>4.0000000000000001E-3</v>
      </c>
      <c r="AZ413">
        <v>4.0000000000000001E-3</v>
      </c>
    </row>
    <row r="414" spans="2:52">
      <c r="B414" t="s">
        <v>1438</v>
      </c>
      <c r="C414">
        <v>13474113</v>
      </c>
      <c r="D414" t="s">
        <v>384</v>
      </c>
      <c r="F414" s="1" t="s">
        <v>1439</v>
      </c>
      <c r="G414" s="1" t="s">
        <v>384</v>
      </c>
      <c r="H414" t="s">
        <v>122</v>
      </c>
      <c r="K414" t="s">
        <v>1440</v>
      </c>
      <c r="L414" s="7">
        <v>7.4999999999999997E-2</v>
      </c>
      <c r="M414" s="8">
        <v>41109</v>
      </c>
      <c r="N414">
        <v>7</v>
      </c>
      <c r="O414" t="s">
        <v>60</v>
      </c>
      <c r="P414">
        <v>2012</v>
      </c>
      <c r="Q414">
        <v>0.42649999999999999</v>
      </c>
      <c r="R414" s="10"/>
      <c r="S414">
        <f>ROUND(ТабCЕС[[#This Row],[Зелений Тариф ЕЦ]]+ТабCЕС[[#This Row],[Зелений Тариф ЕЦ]]*ТабCЕС[[#This Row],[% надбавки]],4)</f>
        <v>0.42649999999999999</v>
      </c>
      <c r="T414" s="8"/>
      <c r="U414">
        <v>2E-3</v>
      </c>
      <c r="V414">
        <v>3.0000000000000001E-3</v>
      </c>
      <c r="W414">
        <v>7.0000000000000001E-3</v>
      </c>
      <c r="X414">
        <v>9.0000000000000011E-3</v>
      </c>
      <c r="Y414">
        <v>1.0999999999999999E-2</v>
      </c>
      <c r="Z414">
        <v>1.0999999999999996E-2</v>
      </c>
      <c r="AA414">
        <v>1.1000000000000003E-2</v>
      </c>
      <c r="AB414">
        <v>1.0000000000000002E-2</v>
      </c>
      <c r="AC414">
        <v>8.9999999999999941E-3</v>
      </c>
      <c r="AD414">
        <v>4.0000000000000036E-3</v>
      </c>
      <c r="AE414">
        <v>1.0000000000000009E-3</v>
      </c>
      <c r="AF414">
        <v>1.0000000000000009E-3</v>
      </c>
      <c r="AG414">
        <v>1E-3</v>
      </c>
      <c r="AH414">
        <v>3.0000000000000001E-3</v>
      </c>
      <c r="AI414">
        <v>5.0000000000000001E-3</v>
      </c>
      <c r="AJ414">
        <v>0.01</v>
      </c>
      <c r="AK414">
        <v>1.2E-2</v>
      </c>
      <c r="AL414">
        <v>1.2E-2</v>
      </c>
      <c r="AM414">
        <v>1.0999999999999999E-2</v>
      </c>
      <c r="AN414">
        <v>1.2E-2</v>
      </c>
      <c r="AO414">
        <v>7.0000000000000001E-3</v>
      </c>
      <c r="AP414">
        <v>6.0000000000000001E-3</v>
      </c>
      <c r="AQ414">
        <v>3.0000000000000001E-3</v>
      </c>
      <c r="AR414">
        <v>1E-3</v>
      </c>
      <c r="AS414">
        <v>1E-3</v>
      </c>
      <c r="AT414">
        <v>3.0000000000000001E-3</v>
      </c>
      <c r="AU414">
        <v>7.0000000000000001E-3</v>
      </c>
      <c r="AV414">
        <v>8.9999999999999993E-3</v>
      </c>
      <c r="AW414">
        <v>0.01</v>
      </c>
      <c r="AX414">
        <v>1.2E-2</v>
      </c>
      <c r="AY414">
        <v>1.0999999999999999E-2</v>
      </c>
      <c r="AZ414">
        <v>1.0999999999999999E-2</v>
      </c>
    </row>
    <row r="415" spans="2:52">
      <c r="B415" t="s">
        <v>1441</v>
      </c>
      <c r="C415">
        <v>35782357</v>
      </c>
      <c r="D415" t="s">
        <v>384</v>
      </c>
      <c r="F415" s="1" t="s">
        <v>1442</v>
      </c>
      <c r="G415" s="1" t="s">
        <v>384</v>
      </c>
      <c r="H415" t="s">
        <v>69</v>
      </c>
      <c r="K415" t="s">
        <v>1443</v>
      </c>
      <c r="L415" s="7">
        <v>1.6E-2</v>
      </c>
      <c r="M415" s="8">
        <v>41620</v>
      </c>
      <c r="N415">
        <v>12</v>
      </c>
      <c r="O415" t="s">
        <v>71</v>
      </c>
      <c r="P415">
        <v>2013</v>
      </c>
      <c r="Q415">
        <v>0.35870000000000002</v>
      </c>
      <c r="R415" s="10"/>
      <c r="S415">
        <f>ROUND(ТабCЕС[[#This Row],[Зелений Тариф ЕЦ]]+ТабCЕС[[#This Row],[Зелений Тариф ЕЦ]]*ТабCЕС[[#This Row],[% надбавки]],4)</f>
        <v>0.35870000000000002</v>
      </c>
      <c r="T415" s="8"/>
      <c r="U415">
        <v>1E-3</v>
      </c>
      <c r="V415">
        <v>1E-3</v>
      </c>
      <c r="W415">
        <v>1E-3</v>
      </c>
      <c r="X415">
        <v>2E-3</v>
      </c>
      <c r="Y415">
        <v>3.0000000000000001E-3</v>
      </c>
      <c r="Z415">
        <v>2.9999999999999992E-3</v>
      </c>
      <c r="AA415">
        <v>2E-3</v>
      </c>
      <c r="AB415">
        <v>3.0000000000000009E-3</v>
      </c>
      <c r="AC415">
        <v>1.9999999999999983E-3</v>
      </c>
      <c r="AD415">
        <v>1.0000000000000009E-3</v>
      </c>
      <c r="AE415">
        <v>0</v>
      </c>
      <c r="AF415">
        <v>0</v>
      </c>
      <c r="AG415">
        <v>0</v>
      </c>
      <c r="AH415">
        <v>1E-3</v>
      </c>
      <c r="AI415">
        <v>1E-3</v>
      </c>
      <c r="AJ415">
        <v>2E-3</v>
      </c>
      <c r="AK415">
        <v>3.0000000000000001E-3</v>
      </c>
      <c r="AL415">
        <v>3.0000000000000001E-3</v>
      </c>
      <c r="AM415">
        <v>2E-3</v>
      </c>
      <c r="AN415">
        <v>3.0000000000000001E-3</v>
      </c>
      <c r="AO415">
        <v>2E-3</v>
      </c>
      <c r="AP415">
        <v>2E-3</v>
      </c>
      <c r="AQ415">
        <v>1E-3</v>
      </c>
      <c r="AR415">
        <v>0</v>
      </c>
      <c r="AS415">
        <v>0</v>
      </c>
      <c r="AT415">
        <v>1E-3</v>
      </c>
      <c r="AU415">
        <v>2E-3</v>
      </c>
      <c r="AV415">
        <v>2E-3</v>
      </c>
      <c r="AW415">
        <v>2E-3</v>
      </c>
      <c r="AX415">
        <v>3.0000000000000001E-3</v>
      </c>
      <c r="AY415">
        <v>0</v>
      </c>
      <c r="AZ415">
        <v>0</v>
      </c>
    </row>
    <row r="416" spans="2:52">
      <c r="B416" t="s">
        <v>1444</v>
      </c>
      <c r="C416">
        <v>38941867</v>
      </c>
      <c r="D416" t="s">
        <v>384</v>
      </c>
      <c r="F416" s="1" t="s">
        <v>1445</v>
      </c>
      <c r="G416" s="1" t="s">
        <v>384</v>
      </c>
      <c r="H416" t="s">
        <v>185</v>
      </c>
      <c r="K416" t="s">
        <v>1446</v>
      </c>
      <c r="L416" s="7">
        <v>0.1</v>
      </c>
      <c r="M416" s="8">
        <v>41868</v>
      </c>
      <c r="N416">
        <v>8</v>
      </c>
      <c r="O416" t="s">
        <v>60</v>
      </c>
      <c r="P416">
        <v>2014</v>
      </c>
      <c r="Q416">
        <v>0.35870000000000002</v>
      </c>
      <c r="R416" s="10"/>
      <c r="S416">
        <f>ROUND(ТабCЕС[[#This Row],[Зелений Тариф ЕЦ]]+ТабCЕС[[#This Row],[Зелений Тариф ЕЦ]]*ТабCЕС[[#This Row],[% надбавки]],4)</f>
        <v>0.35870000000000002</v>
      </c>
      <c r="T416" s="8"/>
      <c r="U416">
        <v>2E-3</v>
      </c>
      <c r="V416">
        <v>4.0000000000000001E-3</v>
      </c>
      <c r="W416">
        <v>8.9999999999999993E-3</v>
      </c>
      <c r="X416">
        <v>1.2E-2</v>
      </c>
      <c r="Y416">
        <v>1.5000000000000003E-2</v>
      </c>
      <c r="Z416">
        <v>1.6E-2</v>
      </c>
      <c r="AA416">
        <v>1.5999999999999993E-2</v>
      </c>
      <c r="AB416">
        <v>1.6E-2</v>
      </c>
      <c r="AC416">
        <v>1.2999999999999998E-2</v>
      </c>
      <c r="AD416">
        <v>6.0000000000000053E-3</v>
      </c>
      <c r="AE416">
        <v>2.0000000000000018E-3</v>
      </c>
      <c r="AF416">
        <v>1.0000000000000009E-3</v>
      </c>
      <c r="AG416">
        <v>2E-3</v>
      </c>
      <c r="AH416">
        <v>5.0000000000000001E-3</v>
      </c>
      <c r="AI416">
        <v>8.9999999999999993E-3</v>
      </c>
      <c r="AJ416">
        <v>1.4999999999999999E-2</v>
      </c>
      <c r="AK416">
        <v>1.6E-2</v>
      </c>
      <c r="AL416">
        <v>1.7000000000000001E-2</v>
      </c>
      <c r="AM416">
        <v>1.6E-2</v>
      </c>
      <c r="AN416">
        <v>1.7999999999999999E-2</v>
      </c>
      <c r="AO416">
        <v>1.2E-2</v>
      </c>
      <c r="AP416">
        <v>0.01</v>
      </c>
      <c r="AQ416">
        <v>5.0000000000000001E-3</v>
      </c>
      <c r="AR416">
        <v>1E-3</v>
      </c>
      <c r="AS416">
        <v>2E-3</v>
      </c>
      <c r="AT416">
        <v>5.0000000000000001E-3</v>
      </c>
      <c r="AU416">
        <v>0.01</v>
      </c>
      <c r="AV416">
        <v>1.4E-2</v>
      </c>
      <c r="AW416">
        <v>1.6E-2</v>
      </c>
      <c r="AX416">
        <v>1.7000000000000001E-2</v>
      </c>
      <c r="AY416">
        <v>1.7000000000000001E-2</v>
      </c>
      <c r="AZ416">
        <v>1.6E-2</v>
      </c>
    </row>
    <row r="417" spans="2:52">
      <c r="B417" t="s">
        <v>1447</v>
      </c>
      <c r="C417">
        <v>33513052</v>
      </c>
      <c r="D417" t="s">
        <v>384</v>
      </c>
      <c r="F417" s="1" t="s">
        <v>1448</v>
      </c>
      <c r="G417" s="1" t="s">
        <v>384</v>
      </c>
      <c r="H417" t="s">
        <v>101</v>
      </c>
      <c r="K417" t="s">
        <v>1449</v>
      </c>
      <c r="L417" s="7">
        <v>1.6E-2</v>
      </c>
      <c r="M417" s="8">
        <v>41620</v>
      </c>
      <c r="N417">
        <v>12</v>
      </c>
      <c r="O417" t="s">
        <v>71</v>
      </c>
      <c r="P417">
        <v>2013</v>
      </c>
      <c r="Q417">
        <v>0.35870000000000002</v>
      </c>
      <c r="R417" s="10"/>
      <c r="S417">
        <f>ROUND(ТабCЕС[[#This Row],[Зелений Тариф ЕЦ]]+ТабCЕС[[#This Row],[Зелений Тариф ЕЦ]]*ТабCЕС[[#This Row],[% надбавки]],4)</f>
        <v>0.35870000000000002</v>
      </c>
      <c r="T417" s="8"/>
      <c r="U417">
        <v>1E-3</v>
      </c>
      <c r="V417">
        <v>1E-3</v>
      </c>
      <c r="W417">
        <v>1E-3</v>
      </c>
      <c r="X417">
        <v>3.0000000000000001E-3</v>
      </c>
      <c r="Y417">
        <v>2E-3</v>
      </c>
      <c r="Z417">
        <v>2.9999999999999992E-3</v>
      </c>
      <c r="AA417">
        <v>2E-3</v>
      </c>
      <c r="AB417">
        <v>3.0000000000000009E-3</v>
      </c>
      <c r="AC417">
        <v>1.9999999999999983E-3</v>
      </c>
      <c r="AD417">
        <v>1.0000000000000009E-3</v>
      </c>
      <c r="AE417">
        <v>0</v>
      </c>
      <c r="AF417">
        <v>1.0000000000000009E-3</v>
      </c>
      <c r="AG417">
        <v>1E-3</v>
      </c>
      <c r="AH417">
        <v>1E-3</v>
      </c>
      <c r="AI417">
        <v>1E-3</v>
      </c>
      <c r="AJ417">
        <v>2E-3</v>
      </c>
      <c r="AK417">
        <v>3.0000000000000001E-3</v>
      </c>
      <c r="AL417">
        <v>2E-3</v>
      </c>
      <c r="AM417">
        <v>2E-3</v>
      </c>
      <c r="AN417">
        <v>3.0000000000000001E-3</v>
      </c>
      <c r="AO417">
        <v>2E-3</v>
      </c>
      <c r="AP417">
        <v>2E-3</v>
      </c>
      <c r="AQ417">
        <v>1E-3</v>
      </c>
      <c r="AR417">
        <v>0</v>
      </c>
      <c r="AS417">
        <v>0</v>
      </c>
      <c r="AT417">
        <v>2E-3</v>
      </c>
      <c r="AU417">
        <v>2E-3</v>
      </c>
      <c r="AV417">
        <v>2E-3</v>
      </c>
      <c r="AW417">
        <v>2E-3</v>
      </c>
      <c r="AX417">
        <v>2E-3</v>
      </c>
      <c r="AY417">
        <v>0</v>
      </c>
      <c r="AZ417">
        <v>0</v>
      </c>
    </row>
    <row r="418" spans="2:52">
      <c r="B418" t="s">
        <v>1450</v>
      </c>
      <c r="C418">
        <v>37708118</v>
      </c>
      <c r="D418" t="s">
        <v>384</v>
      </c>
      <c r="F418" s="1" t="s">
        <v>1451</v>
      </c>
      <c r="G418" s="1" t="s">
        <v>384</v>
      </c>
      <c r="H418" t="s">
        <v>69</v>
      </c>
      <c r="K418" t="s">
        <v>1452</v>
      </c>
      <c r="L418" s="7">
        <v>3.2000000000000001E-2</v>
      </c>
      <c r="M418" s="8">
        <v>41746</v>
      </c>
      <c r="N418">
        <v>4</v>
      </c>
      <c r="O418" t="s">
        <v>57</v>
      </c>
      <c r="P418">
        <v>2014</v>
      </c>
      <c r="Q418">
        <v>0.35870000000000002</v>
      </c>
      <c r="R418" s="10"/>
      <c r="S418">
        <f>ROUND(ТабCЕС[[#This Row],[Зелений Тариф ЕЦ]]+ТабCЕС[[#This Row],[Зелений Тариф ЕЦ]]*ТабCЕС[[#This Row],[% надбавки]],4)</f>
        <v>0.35870000000000002</v>
      </c>
      <c r="T418" s="8"/>
      <c r="U418">
        <v>1E-3</v>
      </c>
      <c r="V418">
        <v>1E-3</v>
      </c>
      <c r="W418">
        <v>4.0000000000000001E-3</v>
      </c>
      <c r="X418">
        <v>2.9999999999999992E-3</v>
      </c>
      <c r="Y418">
        <v>6.0000000000000001E-3</v>
      </c>
      <c r="Z418">
        <v>5.000000000000001E-3</v>
      </c>
      <c r="AA418">
        <v>5.000000000000001E-3</v>
      </c>
      <c r="AB418">
        <v>4.0000000000000001E-3</v>
      </c>
      <c r="AC418">
        <v>4.0000000000000001E-3</v>
      </c>
      <c r="AD418">
        <v>2.0000000000000018E-3</v>
      </c>
      <c r="AE418">
        <v>9.9999999999999395E-4</v>
      </c>
      <c r="AF418">
        <v>1.0000000000000009E-3</v>
      </c>
      <c r="AG418">
        <v>0</v>
      </c>
      <c r="AH418">
        <v>1E-3</v>
      </c>
      <c r="AI418">
        <v>2E-3</v>
      </c>
      <c r="AJ418">
        <v>4.0000000000000001E-3</v>
      </c>
      <c r="AK418">
        <v>5.0000000000000001E-3</v>
      </c>
      <c r="AL418">
        <v>5.0000000000000001E-3</v>
      </c>
      <c r="AM418">
        <v>4.0000000000000001E-3</v>
      </c>
      <c r="AN418">
        <v>5.0000000000000001E-3</v>
      </c>
      <c r="AO418">
        <v>3.0000000000000001E-3</v>
      </c>
      <c r="AP418">
        <v>3.0000000000000001E-3</v>
      </c>
      <c r="AQ418">
        <v>1E-3</v>
      </c>
      <c r="AR418">
        <v>0</v>
      </c>
      <c r="AS418">
        <v>1E-3</v>
      </c>
      <c r="AT418">
        <v>2E-3</v>
      </c>
      <c r="AU418">
        <v>3.0000000000000001E-3</v>
      </c>
      <c r="AV418">
        <v>4.0000000000000001E-3</v>
      </c>
      <c r="AW418">
        <v>5.0000000000000001E-3</v>
      </c>
      <c r="AX418">
        <v>5.0000000000000001E-3</v>
      </c>
      <c r="AY418">
        <v>5.0000000000000001E-3</v>
      </c>
      <c r="AZ418">
        <v>5.0000000000000001E-3</v>
      </c>
    </row>
    <row r="419" spans="2:52">
      <c r="C419" t="s">
        <v>58</v>
      </c>
      <c r="D419" t="s">
        <v>384</v>
      </c>
      <c r="F419" s="1" t="s">
        <v>1453</v>
      </c>
      <c r="G419" s="1" t="s">
        <v>384</v>
      </c>
      <c r="H419" t="s">
        <v>321</v>
      </c>
      <c r="K419" t="s">
        <v>1454</v>
      </c>
      <c r="L419" s="7">
        <v>0.03</v>
      </c>
      <c r="M419" s="8">
        <v>42201</v>
      </c>
      <c r="N419">
        <v>7</v>
      </c>
      <c r="O419" t="s">
        <v>60</v>
      </c>
      <c r="P419">
        <v>2015</v>
      </c>
      <c r="Q419">
        <v>0.3226</v>
      </c>
      <c r="R419" s="10"/>
      <c r="S419">
        <f>ROUND(ТабCЕС[[#This Row],[Зелений Тариф ЕЦ]]+ТабCЕС[[#This Row],[Зелений Тариф ЕЦ]]*ТабCЕС[[#This Row],[% надбавки]],4)</f>
        <v>0.3226</v>
      </c>
      <c r="T419" s="8"/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</row>
    <row r="420" spans="2:52">
      <c r="C420" t="s">
        <v>58</v>
      </c>
      <c r="D420" t="s">
        <v>384</v>
      </c>
      <c r="F420" s="1" t="s">
        <v>1455</v>
      </c>
      <c r="G420" s="1" t="s">
        <v>384</v>
      </c>
      <c r="H420" t="s">
        <v>163</v>
      </c>
      <c r="K420" t="s">
        <v>1456</v>
      </c>
      <c r="L420" s="7">
        <v>0.03</v>
      </c>
      <c r="M420" s="8">
        <v>41232</v>
      </c>
      <c r="N420">
        <v>11</v>
      </c>
      <c r="O420" t="s">
        <v>71</v>
      </c>
      <c r="P420">
        <v>2012</v>
      </c>
      <c r="Q420">
        <v>0.42649999999999999</v>
      </c>
      <c r="R420" s="10"/>
      <c r="S420">
        <f>ROUND(ТабCЕС[[#This Row],[Зелений Тариф ЕЦ]]+ТабCЕС[[#This Row],[Зелений Тариф ЕЦ]]*ТабCЕС[[#This Row],[% надбавки]],4)</f>
        <v>0.42649999999999999</v>
      </c>
      <c r="T420" s="8"/>
      <c r="U420">
        <v>1E-3</v>
      </c>
      <c r="V420">
        <v>1E-3</v>
      </c>
      <c r="W420">
        <v>3.0000000000000001E-3</v>
      </c>
      <c r="X420">
        <v>3.9999999999999992E-3</v>
      </c>
      <c r="Y420">
        <v>4.0000000000000001E-3</v>
      </c>
      <c r="Z420">
        <v>4.9999999999999992E-3</v>
      </c>
      <c r="AA420">
        <v>4.0000000000000001E-3</v>
      </c>
      <c r="AB420">
        <v>4.0000000000000001E-3</v>
      </c>
      <c r="AC420">
        <v>4.0000000000000001E-3</v>
      </c>
      <c r="AD420">
        <v>1.0000000000000009E-3</v>
      </c>
      <c r="AE420">
        <v>1.0000000000000009E-3</v>
      </c>
      <c r="AF420">
        <v>0</v>
      </c>
      <c r="AG420">
        <v>0</v>
      </c>
      <c r="AH420">
        <v>1E-3</v>
      </c>
      <c r="AI420">
        <v>1E-3</v>
      </c>
      <c r="AJ420">
        <v>4.0000000000000001E-3</v>
      </c>
      <c r="AK420">
        <v>5.0000000000000001E-3</v>
      </c>
      <c r="AL420">
        <v>4.0000000000000001E-3</v>
      </c>
      <c r="AM420">
        <v>4.0000000000000001E-3</v>
      </c>
      <c r="AN420">
        <v>5.0000000000000001E-3</v>
      </c>
      <c r="AO420">
        <v>3.0000000000000001E-3</v>
      </c>
      <c r="AP420">
        <v>3.0000000000000001E-3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</row>
    <row r="421" spans="2:52">
      <c r="B421" t="s">
        <v>1457</v>
      </c>
      <c r="C421">
        <v>5531050</v>
      </c>
      <c r="D421" t="s">
        <v>384</v>
      </c>
      <c r="F421" s="1" t="s">
        <v>1458</v>
      </c>
      <c r="G421" s="1" t="s">
        <v>408</v>
      </c>
      <c r="H421" t="s">
        <v>122</v>
      </c>
      <c r="K421" t="s">
        <v>1459</v>
      </c>
      <c r="L421" s="7">
        <v>6.9000000000000006E-2</v>
      </c>
      <c r="M421" s="8">
        <v>42611</v>
      </c>
      <c r="N421">
        <v>8</v>
      </c>
      <c r="O421" t="s">
        <v>60</v>
      </c>
      <c r="P421">
        <v>2016</v>
      </c>
      <c r="Q421">
        <v>0.17230000000000001</v>
      </c>
      <c r="R421" s="10"/>
      <c r="S421">
        <f>ROUND(ТабCЕС[[#This Row],[Зелений Тариф ЕЦ]]+ТабCЕС[[#This Row],[Зелений Тариф ЕЦ]]*ТабCЕС[[#This Row],[% надбавки]],4)</f>
        <v>0.17230000000000001</v>
      </c>
      <c r="T421" s="8"/>
      <c r="U421">
        <v>1E-3</v>
      </c>
      <c r="V421">
        <v>2E-3</v>
      </c>
      <c r="W421">
        <v>7.0000000000000001E-3</v>
      </c>
      <c r="X421">
        <v>8.9999999999999993E-3</v>
      </c>
      <c r="Y421">
        <v>1.4000000000000002E-2</v>
      </c>
      <c r="Z421">
        <v>1.2999999999999998E-2</v>
      </c>
      <c r="AA421">
        <v>1.2999999999999998E-2</v>
      </c>
      <c r="AB421">
        <v>1.1999999999999997E-2</v>
      </c>
      <c r="AC421">
        <v>9.000000000000008E-3</v>
      </c>
      <c r="AD421">
        <v>4.0000000000000036E-3</v>
      </c>
      <c r="AE421">
        <v>1.9999999999999879E-3</v>
      </c>
      <c r="AF421">
        <v>1.0000000000000009E-3</v>
      </c>
      <c r="AG421">
        <v>1E-3</v>
      </c>
      <c r="AH421">
        <v>3.0000000000000001E-3</v>
      </c>
      <c r="AI421">
        <v>6.0000000000000001E-3</v>
      </c>
      <c r="AJ421">
        <v>1.2E-2</v>
      </c>
      <c r="AK421">
        <v>1.4E-2</v>
      </c>
      <c r="AL421">
        <v>1.4E-2</v>
      </c>
      <c r="AM421">
        <v>1.2999999999999999E-2</v>
      </c>
      <c r="AN421">
        <v>1.4E-2</v>
      </c>
      <c r="AO421">
        <v>8.0000000000000002E-3</v>
      </c>
      <c r="AP421">
        <v>6.0000000000000001E-3</v>
      </c>
      <c r="AQ421">
        <v>2E-3</v>
      </c>
      <c r="AR421">
        <v>1E-3</v>
      </c>
      <c r="AS421">
        <v>1E-3</v>
      </c>
      <c r="AT421">
        <v>3.0000000000000001E-3</v>
      </c>
      <c r="AU421">
        <v>8.0000000000000002E-3</v>
      </c>
      <c r="AV421">
        <v>1.0999999999999999E-2</v>
      </c>
      <c r="AW421">
        <v>1.2E-2</v>
      </c>
      <c r="AX421">
        <v>1.4E-2</v>
      </c>
      <c r="AY421">
        <v>1.4E-2</v>
      </c>
      <c r="AZ421">
        <v>1.2999999999999999E-2</v>
      </c>
    </row>
    <row r="422" spans="2:52">
      <c r="C422" t="s">
        <v>58</v>
      </c>
      <c r="D422" t="s">
        <v>384</v>
      </c>
      <c r="F422" s="1" t="s">
        <v>1460</v>
      </c>
      <c r="G422" s="1" t="s">
        <v>410</v>
      </c>
      <c r="H422" t="s">
        <v>122</v>
      </c>
      <c r="K422" t="s">
        <v>1461</v>
      </c>
      <c r="L422" s="7">
        <v>3.5000000000000003E-2</v>
      </c>
      <c r="M422" s="8">
        <v>43130</v>
      </c>
      <c r="N422">
        <v>1</v>
      </c>
      <c r="O422" t="s">
        <v>67</v>
      </c>
      <c r="P422">
        <v>2018</v>
      </c>
      <c r="Q422">
        <v>0.16370000000000001</v>
      </c>
      <c r="R422" s="10"/>
      <c r="S422">
        <f>ROUND(ТабCЕС[[#This Row],[Зелений Тариф ЕЦ]]+ТабCЕС[[#This Row],[Зелений Тариф ЕЦ]]*ТабCЕС[[#This Row],[% надбавки]],4)</f>
        <v>0.16370000000000001</v>
      </c>
      <c r="T422" s="8"/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</row>
    <row r="423" spans="2:52">
      <c r="C423" t="s">
        <v>58</v>
      </c>
      <c r="D423" t="s">
        <v>384</v>
      </c>
      <c r="F423" s="1" t="s">
        <v>466</v>
      </c>
      <c r="G423" s="1" t="s">
        <v>384</v>
      </c>
      <c r="H423" t="s">
        <v>185</v>
      </c>
      <c r="K423" t="s">
        <v>1462</v>
      </c>
      <c r="L423" s="7">
        <v>0.06</v>
      </c>
      <c r="M423" s="8">
        <v>43331</v>
      </c>
      <c r="N423">
        <v>8</v>
      </c>
      <c r="O423" t="s">
        <v>60</v>
      </c>
      <c r="P423">
        <v>2018</v>
      </c>
      <c r="Q423">
        <v>0.16370000000000001</v>
      </c>
      <c r="R423" s="10"/>
      <c r="S423">
        <f>ROUND(ТабCЕС[[#This Row],[Зелений Тариф ЕЦ]]+ТабCЕС[[#This Row],[Зелений Тариф ЕЦ]]*ТабCЕС[[#This Row],[% надбавки]],4)</f>
        <v>0.16370000000000001</v>
      </c>
      <c r="T423" s="8"/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9.1999999999999998E-2</v>
      </c>
      <c r="AY423">
        <v>2.5000000000000001E-2</v>
      </c>
      <c r="AZ423">
        <v>4.5999999999999999E-2</v>
      </c>
    </row>
    <row r="424" spans="2:52">
      <c r="C424" t="s">
        <v>58</v>
      </c>
      <c r="D424" t="s">
        <v>384</v>
      </c>
      <c r="F424" s="1" t="s">
        <v>466</v>
      </c>
      <c r="G424" s="1" t="s">
        <v>384</v>
      </c>
      <c r="H424" t="s">
        <v>185</v>
      </c>
      <c r="K424" t="s">
        <v>1463</v>
      </c>
      <c r="L424" s="7">
        <v>0.28199999999999997</v>
      </c>
      <c r="M424" s="8">
        <v>43434</v>
      </c>
      <c r="N424">
        <v>11</v>
      </c>
      <c r="O424" t="s">
        <v>71</v>
      </c>
      <c r="P424">
        <v>2018</v>
      </c>
      <c r="Q424">
        <v>0.16370000000000001</v>
      </c>
      <c r="R424" s="10"/>
      <c r="S424">
        <f>ROUND(ТабCЕС[[#This Row],[Зелений Тариф ЕЦ]]+ТабCЕС[[#This Row],[Зелений Тариф ЕЦ]]*ТабCЕС[[#This Row],[% надбавки]],4)</f>
        <v>0.16370000000000001</v>
      </c>
      <c r="T424" s="8"/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</row>
    <row r="425" spans="2:52">
      <c r="C425" t="s">
        <v>58</v>
      </c>
      <c r="D425" t="s">
        <v>384</v>
      </c>
      <c r="F425" s="1" t="s">
        <v>1464</v>
      </c>
      <c r="G425" s="1" t="s">
        <v>384</v>
      </c>
      <c r="H425" t="s">
        <v>1465</v>
      </c>
      <c r="K425" t="s">
        <v>1466</v>
      </c>
      <c r="L425" s="7">
        <v>0.05</v>
      </c>
      <c r="M425" s="8">
        <v>43382</v>
      </c>
      <c r="N425">
        <v>10</v>
      </c>
      <c r="O425" t="s">
        <v>71</v>
      </c>
      <c r="P425">
        <v>2018</v>
      </c>
      <c r="Q425">
        <v>0.17230000000000001</v>
      </c>
      <c r="R425" s="10"/>
      <c r="S425">
        <f>ROUND(ТабCЕС[[#This Row],[Зелений Тариф ЕЦ]]+ТабCЕС[[#This Row],[Зелений Тариф ЕЦ]]*ТабCЕС[[#This Row],[% надбавки]],4)</f>
        <v>0.17230000000000001</v>
      </c>
      <c r="T425" s="8"/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</row>
    <row r="426" spans="2:52">
      <c r="C426" t="s">
        <v>58</v>
      </c>
      <c r="D426" t="s">
        <v>384</v>
      </c>
      <c r="F426" s="1" t="s">
        <v>1464</v>
      </c>
      <c r="G426" s="1" t="s">
        <v>384</v>
      </c>
      <c r="H426" t="s">
        <v>1257</v>
      </c>
      <c r="K426" t="s">
        <v>1467</v>
      </c>
      <c r="L426" s="7">
        <v>3.4000000000000002E-2</v>
      </c>
      <c r="M426" s="8">
        <v>43382</v>
      </c>
      <c r="N426">
        <v>10</v>
      </c>
      <c r="O426" t="s">
        <v>71</v>
      </c>
      <c r="P426">
        <v>2018</v>
      </c>
      <c r="Q426">
        <v>0.16370000000000001</v>
      </c>
      <c r="R426" s="10"/>
      <c r="S426">
        <f>ROUND(ТабCЕС[[#This Row],[Зелений Тариф ЕЦ]]+ТабCЕС[[#This Row],[Зелений Тариф ЕЦ]]*ТабCЕС[[#This Row],[% надбавки]],4)</f>
        <v>0.16370000000000001</v>
      </c>
      <c r="T426" s="8"/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4.0000000000000001E-3</v>
      </c>
      <c r="AW426">
        <v>5.0000000000000001E-3</v>
      </c>
      <c r="AX426">
        <v>6.0000000000000001E-3</v>
      </c>
      <c r="AY426">
        <v>6.0000000000000001E-3</v>
      </c>
      <c r="AZ426">
        <v>5.0000000000000001E-3</v>
      </c>
    </row>
    <row r="427" spans="2:52">
      <c r="C427" t="s">
        <v>58</v>
      </c>
      <c r="D427" t="s">
        <v>384</v>
      </c>
      <c r="F427" s="1" t="s">
        <v>456</v>
      </c>
      <c r="G427" s="1" t="s">
        <v>384</v>
      </c>
      <c r="H427" t="s">
        <v>98</v>
      </c>
      <c r="I427" t="s">
        <v>1468</v>
      </c>
      <c r="K427" t="s">
        <v>1469</v>
      </c>
      <c r="L427" s="7">
        <v>1</v>
      </c>
      <c r="M427" s="8">
        <v>43158</v>
      </c>
      <c r="N427">
        <v>2</v>
      </c>
      <c r="O427" t="s">
        <v>67</v>
      </c>
      <c r="P427">
        <v>2018</v>
      </c>
      <c r="Q427">
        <v>0.16370000000000001</v>
      </c>
      <c r="R427" s="10"/>
      <c r="S427">
        <f>ROUND(ТабCЕС[[#This Row],[Зелений Тариф ЕЦ]]+ТабCЕС[[#This Row],[Зелений Тариф ЕЦ]]*ТабCЕС[[#This Row],[% надбавки]],4)</f>
        <v>0.16370000000000001</v>
      </c>
      <c r="T427" s="8"/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1E-3</v>
      </c>
      <c r="AJ427">
        <v>0.17499999999999999</v>
      </c>
      <c r="AK427">
        <v>0.21199999999999999</v>
      </c>
      <c r="AL427">
        <v>0.17799999999999999</v>
      </c>
      <c r="AM427">
        <v>0.188</v>
      </c>
      <c r="AN427">
        <v>0.20200000000000001</v>
      </c>
      <c r="AO427">
        <v>0.161</v>
      </c>
      <c r="AP427">
        <v>0.125</v>
      </c>
      <c r="AQ427">
        <v>4.5999999999999999E-2</v>
      </c>
      <c r="AR427">
        <v>7.0000000000000001E-3</v>
      </c>
      <c r="AS427">
        <v>1.6E-2</v>
      </c>
      <c r="AT427">
        <v>0.13300000000000001</v>
      </c>
      <c r="AU427">
        <v>0.23899999999999999</v>
      </c>
      <c r="AV427">
        <v>0.314</v>
      </c>
      <c r="AW427">
        <v>0.25800000000000001</v>
      </c>
      <c r="AX427">
        <v>0.53900000000000003</v>
      </c>
      <c r="AY427">
        <v>0.44700000000000001</v>
      </c>
      <c r="AZ427">
        <v>0.46</v>
      </c>
    </row>
    <row r="428" spans="2:52">
      <c r="C428" t="s">
        <v>58</v>
      </c>
      <c r="D428" t="s">
        <v>384</v>
      </c>
      <c r="F428" s="1" t="s">
        <v>456</v>
      </c>
      <c r="G428" s="1" t="s">
        <v>384</v>
      </c>
      <c r="H428" t="s">
        <v>98</v>
      </c>
      <c r="K428" t="s">
        <v>1470</v>
      </c>
      <c r="L428" s="7">
        <v>0.5</v>
      </c>
      <c r="M428" s="8">
        <v>43158</v>
      </c>
      <c r="N428">
        <v>2</v>
      </c>
      <c r="O428" t="s">
        <v>67</v>
      </c>
      <c r="P428">
        <v>2018</v>
      </c>
      <c r="Q428">
        <v>0.16370000000000001</v>
      </c>
      <c r="R428" s="10"/>
      <c r="S428">
        <f>ROUND(ТабCЕС[[#This Row],[Зелений Тариф ЕЦ]]+ТабCЕС[[#This Row],[Зелений Тариф ЕЦ]]*ТабCЕС[[#This Row],[% надбавки]],4)</f>
        <v>0.16370000000000001</v>
      </c>
      <c r="T428" s="8"/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</row>
    <row r="429" spans="2:52">
      <c r="C429" t="s">
        <v>58</v>
      </c>
      <c r="D429" t="s">
        <v>384</v>
      </c>
      <c r="F429" s="1" t="s">
        <v>456</v>
      </c>
      <c r="G429" s="1" t="s">
        <v>384</v>
      </c>
      <c r="H429" t="s">
        <v>98</v>
      </c>
      <c r="K429" t="s">
        <v>1471</v>
      </c>
      <c r="L429" s="7">
        <v>6.6000000000000003E-2</v>
      </c>
      <c r="M429" s="8">
        <v>43158</v>
      </c>
      <c r="N429">
        <v>2</v>
      </c>
      <c r="O429" t="s">
        <v>67</v>
      </c>
      <c r="P429">
        <v>2018</v>
      </c>
      <c r="Q429">
        <v>0.16370000000000001</v>
      </c>
      <c r="R429" s="10"/>
      <c r="S429">
        <f>ROUND(ТабCЕС[[#This Row],[Зелений Тариф ЕЦ]]+ТабCЕС[[#This Row],[Зелений Тариф ЕЦ]]*ТабCЕС[[#This Row],[% надбавки]],4)</f>
        <v>0.16370000000000001</v>
      </c>
      <c r="T429" s="8"/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</row>
    <row r="430" spans="2:52">
      <c r="C430" t="s">
        <v>58</v>
      </c>
      <c r="D430" t="s">
        <v>384</v>
      </c>
      <c r="F430" s="1" t="s">
        <v>456</v>
      </c>
      <c r="G430" s="1" t="s">
        <v>384</v>
      </c>
      <c r="H430" t="s">
        <v>98</v>
      </c>
      <c r="K430" t="s">
        <v>1472</v>
      </c>
      <c r="L430" s="7">
        <v>1</v>
      </c>
      <c r="M430" s="8">
        <v>43476</v>
      </c>
      <c r="N430">
        <v>1</v>
      </c>
      <c r="O430" t="s">
        <v>67</v>
      </c>
      <c r="P430">
        <v>2019</v>
      </c>
      <c r="Q430">
        <v>0.16370000000000001</v>
      </c>
      <c r="R430" s="10"/>
      <c r="S430">
        <f>ROUND(ТабCЕС[[#This Row],[Зелений Тариф ЕЦ]]+ТабCЕС[[#This Row],[Зелений Тариф ЕЦ]]*ТабCЕС[[#This Row],[% надбавки]],4)</f>
        <v>0.16370000000000001</v>
      </c>
      <c r="T430" s="8"/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</row>
    <row r="431" spans="2:52">
      <c r="C431" t="s">
        <v>58</v>
      </c>
      <c r="D431" t="s">
        <v>384</v>
      </c>
      <c r="F431" s="1" t="s">
        <v>456</v>
      </c>
      <c r="G431" s="1" t="s">
        <v>384</v>
      </c>
      <c r="H431" t="s">
        <v>98</v>
      </c>
      <c r="K431" t="s">
        <v>1473</v>
      </c>
      <c r="L431" s="7">
        <v>0.98</v>
      </c>
      <c r="M431" s="8">
        <v>43596</v>
      </c>
      <c r="N431">
        <v>5</v>
      </c>
      <c r="O431" t="s">
        <v>57</v>
      </c>
      <c r="P431">
        <v>2019</v>
      </c>
      <c r="Q431">
        <v>0.16370000000000001</v>
      </c>
      <c r="R431" s="10"/>
      <c r="S431">
        <f>ROUND(ТабCЕС[[#This Row],[Зелений Тариф ЕЦ]]+ТабCЕС[[#This Row],[Зелений Тариф ЕЦ]]*ТабCЕС[[#This Row],[% надбавки]],4)</f>
        <v>0.16370000000000001</v>
      </c>
      <c r="T431" s="8"/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</row>
    <row r="432" spans="2:52">
      <c r="C432" t="s">
        <v>58</v>
      </c>
      <c r="D432" t="s">
        <v>384</v>
      </c>
      <c r="F432" s="1" t="s">
        <v>1474</v>
      </c>
      <c r="G432" s="1" t="s">
        <v>1475</v>
      </c>
      <c r="H432" t="s">
        <v>65</v>
      </c>
      <c r="K432" t="s">
        <v>1476</v>
      </c>
      <c r="L432" s="7">
        <v>0.60199999999999998</v>
      </c>
      <c r="M432" s="8">
        <v>43613</v>
      </c>
      <c r="N432">
        <v>5</v>
      </c>
      <c r="O432" t="s">
        <v>57</v>
      </c>
      <c r="P432">
        <v>2019</v>
      </c>
      <c r="Q432">
        <v>0.16370000000000001</v>
      </c>
      <c r="R432" s="10"/>
      <c r="S432">
        <f>ROUND(ТабCЕС[[#This Row],[Зелений Тариф ЕЦ]]+ТабCЕС[[#This Row],[Зелений Тариф ЕЦ]]*ТабCЕС[[#This Row],[% надбавки]],4)</f>
        <v>0.16370000000000001</v>
      </c>
      <c r="T432" s="8"/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8.3000000000000004E-2</v>
      </c>
      <c r="AY432">
        <v>8.5999999999999993E-2</v>
      </c>
      <c r="AZ432">
        <v>7.0999999999999994E-2</v>
      </c>
    </row>
    <row r="433" spans="2:52">
      <c r="C433" t="s">
        <v>58</v>
      </c>
      <c r="D433" t="s">
        <v>384</v>
      </c>
      <c r="F433" s="1" t="s">
        <v>1477</v>
      </c>
      <c r="G433" s="1" t="s">
        <v>384</v>
      </c>
      <c r="H433" t="s">
        <v>163</v>
      </c>
      <c r="K433" t="s">
        <v>1478</v>
      </c>
      <c r="L433" s="7">
        <v>2.8000000000000001E-2</v>
      </c>
      <c r="M433" s="8">
        <v>42362</v>
      </c>
      <c r="N433">
        <v>12</v>
      </c>
      <c r="O433" t="s">
        <v>71</v>
      </c>
      <c r="P433">
        <v>2015</v>
      </c>
      <c r="Q433">
        <v>0.1804</v>
      </c>
      <c r="R433" s="10"/>
      <c r="S433">
        <f>ROUND(ТабCЕС[[#This Row],[Зелений Тариф ЕЦ]]+ТабCЕС[[#This Row],[Зелений Тариф ЕЦ]]*ТабCЕС[[#This Row],[% надбавки]],4)</f>
        <v>0.1804</v>
      </c>
      <c r="T433" s="8"/>
      <c r="U433">
        <v>0</v>
      </c>
      <c r="V433">
        <v>0</v>
      </c>
      <c r="W433">
        <v>3.0000000000000001E-3</v>
      </c>
      <c r="X433">
        <v>4.0000000000000001E-3</v>
      </c>
      <c r="Y433">
        <v>5.0000000000000001E-3</v>
      </c>
      <c r="Z433">
        <v>5.000000000000001E-3</v>
      </c>
      <c r="AA433">
        <v>4.9999999999999975E-3</v>
      </c>
      <c r="AB433">
        <v>5.000000000000001E-3</v>
      </c>
      <c r="AC433">
        <v>2.9999999999999992E-3</v>
      </c>
      <c r="AD433">
        <v>2.0000000000000018E-3</v>
      </c>
      <c r="AE433">
        <v>1.0000000000000009E-3</v>
      </c>
      <c r="AF433">
        <v>0</v>
      </c>
      <c r="AG433">
        <v>1E-3</v>
      </c>
      <c r="AH433">
        <v>1E-3</v>
      </c>
      <c r="AI433">
        <v>2E-3</v>
      </c>
      <c r="AJ433">
        <v>4.0000000000000001E-3</v>
      </c>
      <c r="AK433">
        <v>5.0000000000000001E-3</v>
      </c>
      <c r="AL433">
        <v>5.0000000000000001E-3</v>
      </c>
      <c r="AM433">
        <v>4.0000000000000001E-3</v>
      </c>
      <c r="AN433">
        <v>5.0000000000000001E-3</v>
      </c>
      <c r="AO433">
        <v>3.0000000000000001E-3</v>
      </c>
      <c r="AP433">
        <v>3.0000000000000001E-3</v>
      </c>
      <c r="AQ433">
        <v>1E-3</v>
      </c>
      <c r="AR433">
        <v>0</v>
      </c>
      <c r="AS433">
        <v>0</v>
      </c>
      <c r="AT433">
        <v>1E-3</v>
      </c>
      <c r="AU433">
        <v>1E-3</v>
      </c>
      <c r="AV433">
        <v>4.0000000000000001E-3</v>
      </c>
      <c r="AW433">
        <v>4.0000000000000001E-3</v>
      </c>
      <c r="AX433">
        <v>5.0000000000000001E-3</v>
      </c>
      <c r="AY433">
        <v>5.0000000000000001E-3</v>
      </c>
      <c r="AZ433">
        <v>5.0000000000000001E-3</v>
      </c>
    </row>
    <row r="434" spans="2:52">
      <c r="C434" t="s">
        <v>58</v>
      </c>
      <c r="D434" t="s">
        <v>384</v>
      </c>
      <c r="F434" s="1" t="s">
        <v>1479</v>
      </c>
      <c r="G434" s="1" t="s">
        <v>384</v>
      </c>
      <c r="H434" t="s">
        <v>62</v>
      </c>
      <c r="K434" t="s">
        <v>1480</v>
      </c>
      <c r="L434" s="7">
        <v>1.4999999999999999E-2</v>
      </c>
      <c r="M434" s="8">
        <v>42593</v>
      </c>
      <c r="N434">
        <v>8</v>
      </c>
      <c r="O434" t="s">
        <v>60</v>
      </c>
      <c r="P434">
        <v>2016</v>
      </c>
      <c r="Q434">
        <v>0.17230000000000001</v>
      </c>
      <c r="R434" s="10"/>
      <c r="S434">
        <f>ROUND(ТабCЕС[[#This Row],[Зелений Тариф ЕЦ]]+ТабCЕС[[#This Row],[Зелений Тариф ЕЦ]]*ТабCЕС[[#This Row],[% надбавки]],4)</f>
        <v>0.17230000000000001</v>
      </c>
      <c r="T434" s="8"/>
      <c r="U434">
        <v>0</v>
      </c>
      <c r="V434">
        <v>1E-3</v>
      </c>
      <c r="W434">
        <v>1E-3</v>
      </c>
      <c r="X434">
        <v>2E-3</v>
      </c>
      <c r="Y434">
        <v>1E-3</v>
      </c>
      <c r="Z434">
        <v>2E-3</v>
      </c>
      <c r="AA434">
        <v>1E-3</v>
      </c>
      <c r="AB434">
        <v>9.9999999999999915E-4</v>
      </c>
      <c r="AC434">
        <v>1.0000000000000009E-3</v>
      </c>
      <c r="AD434">
        <v>9.9999999999999915E-4</v>
      </c>
      <c r="AE434">
        <v>1.0000000000000009E-3</v>
      </c>
      <c r="AF434">
        <v>0</v>
      </c>
      <c r="AG434">
        <v>0</v>
      </c>
      <c r="AH434">
        <v>0</v>
      </c>
      <c r="AI434">
        <v>1E-3</v>
      </c>
      <c r="AJ434">
        <v>2E-3</v>
      </c>
      <c r="AK434">
        <v>3.0000000000000001E-3</v>
      </c>
      <c r="AL434">
        <v>2E-3</v>
      </c>
      <c r="AM434">
        <v>2E-3</v>
      </c>
      <c r="AN434">
        <v>2E-3</v>
      </c>
      <c r="AO434">
        <v>2E-3</v>
      </c>
      <c r="AP434">
        <v>1E-3</v>
      </c>
      <c r="AQ434">
        <v>0</v>
      </c>
      <c r="AR434">
        <v>0</v>
      </c>
      <c r="AS434">
        <v>0</v>
      </c>
      <c r="AT434">
        <v>1E-3</v>
      </c>
      <c r="AU434">
        <v>1E-3</v>
      </c>
      <c r="AV434">
        <v>2E-3</v>
      </c>
      <c r="AW434">
        <v>1E-3</v>
      </c>
      <c r="AX434">
        <v>1E-3</v>
      </c>
      <c r="AY434">
        <v>2E-3</v>
      </c>
      <c r="AZ434">
        <v>1E-3</v>
      </c>
    </row>
    <row r="435" spans="2:52">
      <c r="C435" t="s">
        <v>58</v>
      </c>
      <c r="D435" t="s">
        <v>384</v>
      </c>
      <c r="F435" s="1" t="s">
        <v>1481</v>
      </c>
      <c r="G435" s="1" t="s">
        <v>384</v>
      </c>
      <c r="H435" t="s">
        <v>122</v>
      </c>
      <c r="K435" t="s">
        <v>1482</v>
      </c>
      <c r="L435" s="7">
        <v>0.23899999999999999</v>
      </c>
      <c r="M435" s="8">
        <v>43340</v>
      </c>
      <c r="N435">
        <v>8</v>
      </c>
      <c r="O435" t="s">
        <v>60</v>
      </c>
      <c r="P435">
        <v>2018</v>
      </c>
      <c r="Q435">
        <v>0.16370000000000001</v>
      </c>
      <c r="R435" s="10"/>
      <c r="S435">
        <f>ROUND(ТабCЕС[[#This Row],[Зелений Тариф ЕЦ]]+ТабCЕС[[#This Row],[Зелений Тариф ЕЦ]]*ТабCЕС[[#This Row],[% надбавки]],4)</f>
        <v>0.16370000000000001</v>
      </c>
      <c r="T435" s="8"/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2.4E-2</v>
      </c>
      <c r="AQ435">
        <v>0.01</v>
      </c>
      <c r="AR435">
        <v>2E-3</v>
      </c>
      <c r="AS435">
        <v>2E-3</v>
      </c>
      <c r="AT435">
        <v>1.0999999999999999E-2</v>
      </c>
      <c r="AU435">
        <v>2.7E-2</v>
      </c>
      <c r="AV435">
        <v>3.7999999999999999E-2</v>
      </c>
      <c r="AW435">
        <v>4.2999999999999997E-2</v>
      </c>
      <c r="AX435">
        <v>0.04</v>
      </c>
      <c r="AY435">
        <v>3.4000000000000002E-2</v>
      </c>
      <c r="AZ435">
        <v>2.1000000000000001E-2</v>
      </c>
    </row>
    <row r="436" spans="2:52" ht="25.5">
      <c r="B436" t="s">
        <v>1483</v>
      </c>
      <c r="C436">
        <v>2625703120</v>
      </c>
      <c r="D436" t="s">
        <v>384</v>
      </c>
      <c r="F436" s="1" t="s">
        <v>1484</v>
      </c>
      <c r="G436" s="1" t="s">
        <v>384</v>
      </c>
      <c r="H436" t="s">
        <v>107</v>
      </c>
      <c r="K436" t="s">
        <v>1485</v>
      </c>
      <c r="L436" s="7">
        <v>6.2E-2</v>
      </c>
      <c r="M436" s="8">
        <v>42460</v>
      </c>
      <c r="N436">
        <v>3</v>
      </c>
      <c r="O436" t="s">
        <v>67</v>
      </c>
      <c r="P436">
        <v>2016</v>
      </c>
      <c r="Q436">
        <v>0.1804</v>
      </c>
      <c r="R436" s="10"/>
      <c r="S436">
        <f>ROUND(ТабCЕС[[#This Row],[Зелений Тариф ЕЦ]]+ТабCЕС[[#This Row],[Зелений Тариф ЕЦ]]*ТабCЕС[[#This Row],[% надбавки]],4)</f>
        <v>0.1804</v>
      </c>
      <c r="T436" s="8"/>
      <c r="U436">
        <v>1E-3</v>
      </c>
      <c r="V436">
        <v>1E-3</v>
      </c>
      <c r="W436">
        <v>5.0000000000000001E-3</v>
      </c>
      <c r="X436">
        <v>8.0000000000000002E-3</v>
      </c>
      <c r="Y436">
        <v>1.0000000000000002E-2</v>
      </c>
      <c r="Z436">
        <v>1.0000000000000002E-2</v>
      </c>
      <c r="AA436">
        <v>9.999999999999995E-3</v>
      </c>
      <c r="AB436">
        <v>8.0000000000000002E-3</v>
      </c>
      <c r="AC436">
        <v>5.9999999999999984E-3</v>
      </c>
      <c r="AD436">
        <v>3.0000000000000027E-3</v>
      </c>
      <c r="AE436">
        <v>1.0000000000000009E-3</v>
      </c>
      <c r="AF436">
        <v>0</v>
      </c>
      <c r="AG436">
        <v>1E-3</v>
      </c>
      <c r="AH436">
        <v>2E-3</v>
      </c>
      <c r="AI436">
        <v>2E-3</v>
      </c>
      <c r="AJ436">
        <v>8.0000000000000002E-3</v>
      </c>
      <c r="AK436">
        <v>0.01</v>
      </c>
      <c r="AL436">
        <v>0.01</v>
      </c>
      <c r="AM436">
        <v>8.0000000000000002E-3</v>
      </c>
      <c r="AN436">
        <v>8.9999999999999993E-3</v>
      </c>
      <c r="AO436">
        <v>6.0000000000000001E-3</v>
      </c>
      <c r="AP436">
        <v>4.0000000000000001E-3</v>
      </c>
      <c r="AQ436">
        <v>1E-3</v>
      </c>
      <c r="AR436">
        <v>0</v>
      </c>
      <c r="AS436">
        <v>1E-3</v>
      </c>
      <c r="AT436">
        <v>2E-3</v>
      </c>
      <c r="AU436">
        <v>5.0000000000000001E-3</v>
      </c>
      <c r="AV436">
        <v>7.0000000000000001E-3</v>
      </c>
      <c r="AW436">
        <v>8.9999999999999993E-3</v>
      </c>
      <c r="AX436">
        <v>0.01</v>
      </c>
      <c r="AY436">
        <v>8.9999999999999993E-3</v>
      </c>
      <c r="AZ436">
        <v>8.0000000000000002E-3</v>
      </c>
    </row>
    <row r="437" spans="2:52">
      <c r="C437" t="s">
        <v>58</v>
      </c>
      <c r="D437" t="s">
        <v>384</v>
      </c>
      <c r="F437" s="1" t="s">
        <v>1486</v>
      </c>
      <c r="G437" s="1" t="s">
        <v>384</v>
      </c>
      <c r="H437" t="s">
        <v>122</v>
      </c>
      <c r="K437" t="s">
        <v>1487</v>
      </c>
      <c r="L437" s="7">
        <v>0.223</v>
      </c>
      <c r="M437" s="8">
        <v>42873</v>
      </c>
      <c r="N437">
        <v>5</v>
      </c>
      <c r="O437" t="s">
        <v>57</v>
      </c>
      <c r="P437">
        <v>2017</v>
      </c>
      <c r="Q437">
        <v>0.17230000000000001</v>
      </c>
      <c r="R437" s="10"/>
      <c r="S437">
        <f>ROUND(ТабCЕС[[#This Row],[Зелений Тариф ЕЦ]]+ТабCЕС[[#This Row],[Зелений Тариф ЕЦ]]*ТабCЕС[[#This Row],[% надбавки]],4)</f>
        <v>0.17230000000000001</v>
      </c>
      <c r="T437" s="8"/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8.0000000000000002E-3</v>
      </c>
      <c r="AJ437">
        <v>2.8000000000000001E-2</v>
      </c>
      <c r="AK437">
        <v>3.5999999999999997E-2</v>
      </c>
      <c r="AL437">
        <v>3.7999999999999999E-2</v>
      </c>
      <c r="AM437">
        <v>3.3000000000000002E-2</v>
      </c>
      <c r="AN437">
        <v>3.3000000000000002E-2</v>
      </c>
      <c r="AO437">
        <v>0.02</v>
      </c>
      <c r="AP437">
        <v>1.6E-2</v>
      </c>
      <c r="AQ437">
        <v>6.0000000000000001E-3</v>
      </c>
      <c r="AR437">
        <v>1E-3</v>
      </c>
      <c r="AS437">
        <v>0</v>
      </c>
      <c r="AT437">
        <v>7.0000000000000001E-3</v>
      </c>
      <c r="AU437">
        <v>1.9E-2</v>
      </c>
      <c r="AV437">
        <v>2.8000000000000001E-2</v>
      </c>
      <c r="AW437">
        <v>3.2000000000000001E-2</v>
      </c>
      <c r="AX437">
        <v>3.6999999999999998E-2</v>
      </c>
      <c r="AY437">
        <v>3.6999999999999998E-2</v>
      </c>
      <c r="AZ437">
        <v>3.1E-2</v>
      </c>
    </row>
    <row r="438" spans="2:52">
      <c r="C438" t="s">
        <v>58</v>
      </c>
      <c r="D438" t="s">
        <v>384</v>
      </c>
      <c r="F438" s="1" t="s">
        <v>1486</v>
      </c>
      <c r="G438" s="1" t="s">
        <v>384</v>
      </c>
      <c r="H438" t="s">
        <v>122</v>
      </c>
      <c r="K438" t="s">
        <v>1488</v>
      </c>
      <c r="L438" s="7">
        <v>0.76900000000000002</v>
      </c>
      <c r="M438" s="8">
        <v>43441</v>
      </c>
      <c r="N438">
        <v>12</v>
      </c>
      <c r="O438" t="s">
        <v>71</v>
      </c>
      <c r="P438">
        <v>2018</v>
      </c>
      <c r="Q438">
        <v>0.16370000000000001</v>
      </c>
      <c r="R438" s="10"/>
      <c r="S438">
        <f>ROUND(ТабCЕС[[#This Row],[Зелений Тариф ЕЦ]]+ТабCЕС[[#This Row],[Зелений Тариф ЕЦ]]*ТабCЕС[[#This Row],[% надбавки]],4)</f>
        <v>0.16370000000000001</v>
      </c>
      <c r="T438" s="8"/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</row>
    <row r="439" spans="2:52">
      <c r="C439" t="s">
        <v>58</v>
      </c>
      <c r="D439" t="s">
        <v>384</v>
      </c>
      <c r="F439" s="1" t="s">
        <v>1489</v>
      </c>
      <c r="G439" s="1" t="s">
        <v>384</v>
      </c>
      <c r="H439" t="s">
        <v>263</v>
      </c>
      <c r="K439" t="s">
        <v>1490</v>
      </c>
      <c r="L439" s="7">
        <v>0.122</v>
      </c>
      <c r="M439" s="8">
        <v>42808</v>
      </c>
      <c r="N439">
        <v>3</v>
      </c>
      <c r="O439" t="s">
        <v>67</v>
      </c>
      <c r="P439">
        <v>2017</v>
      </c>
      <c r="Q439">
        <v>0.17230000000000001</v>
      </c>
      <c r="R439" s="10"/>
      <c r="S439">
        <f>ROUND(ТабCЕС[[#This Row],[Зелений Тариф ЕЦ]]+ТабCЕС[[#This Row],[Зелений Тариф ЕЦ]]*ТабCЕС[[#This Row],[% надбавки]],4)</f>
        <v>0.17230000000000001</v>
      </c>
      <c r="T439" s="8"/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0.02</v>
      </c>
      <c r="AM439">
        <v>1.7999999999999999E-2</v>
      </c>
      <c r="AN439">
        <v>0.02</v>
      </c>
      <c r="AO439">
        <v>1.0999999999999999E-2</v>
      </c>
      <c r="AP439">
        <v>8.9999999999999993E-3</v>
      </c>
      <c r="AQ439">
        <v>3.0000000000000001E-3</v>
      </c>
      <c r="AR439">
        <v>0</v>
      </c>
      <c r="AS439">
        <v>1E-3</v>
      </c>
      <c r="AT439">
        <v>5.0000000000000001E-3</v>
      </c>
      <c r="AU439">
        <v>0.01</v>
      </c>
      <c r="AV439">
        <v>1.6E-2</v>
      </c>
      <c r="AW439">
        <v>1.7999999999999999E-2</v>
      </c>
      <c r="AX439">
        <v>2.1000000000000001E-2</v>
      </c>
      <c r="AY439">
        <v>0</v>
      </c>
      <c r="AZ439">
        <v>8.0000000000000002E-3</v>
      </c>
    </row>
    <row r="440" spans="2:52">
      <c r="B440" t="s">
        <v>1491</v>
      </c>
      <c r="C440">
        <v>38985066</v>
      </c>
      <c r="D440" t="s">
        <v>384</v>
      </c>
      <c r="F440" s="1" t="s">
        <v>1492</v>
      </c>
      <c r="G440" s="1" t="s">
        <v>1493</v>
      </c>
      <c r="H440" t="s">
        <v>136</v>
      </c>
      <c r="K440" t="s">
        <v>1494</v>
      </c>
      <c r="L440" s="7">
        <v>0.22900000000000001</v>
      </c>
      <c r="M440" s="8">
        <v>42831</v>
      </c>
      <c r="N440">
        <v>4</v>
      </c>
      <c r="O440" t="s">
        <v>57</v>
      </c>
      <c r="P440">
        <v>2017</v>
      </c>
      <c r="Q440">
        <v>0.17230000000000001</v>
      </c>
      <c r="R440" s="10"/>
      <c r="S440">
        <f>ROUND(ТабCЕС[[#This Row],[Зелений Тариф ЕЦ]]+ТабCЕС[[#This Row],[Зелений Тариф ЕЦ]]*ТабCЕС[[#This Row],[% надбавки]],4)</f>
        <v>0.17230000000000001</v>
      </c>
      <c r="T440" s="8"/>
      <c r="U440">
        <v>0</v>
      </c>
      <c r="V440">
        <v>0</v>
      </c>
      <c r="W440">
        <v>0</v>
      </c>
      <c r="X440">
        <v>0</v>
      </c>
      <c r="Y440">
        <v>0</v>
      </c>
      <c r="Z440">
        <v>3.6999999999999998E-2</v>
      </c>
      <c r="AA440">
        <v>3.6999999999999998E-2</v>
      </c>
      <c r="AB440">
        <v>3.3000000000000002E-2</v>
      </c>
      <c r="AC440">
        <v>2.700000000000001E-2</v>
      </c>
      <c r="AD440">
        <v>1.1999999999999983E-2</v>
      </c>
      <c r="AE440">
        <v>4.0000000000000036E-3</v>
      </c>
      <c r="AF440">
        <v>3.0000000000000027E-3</v>
      </c>
      <c r="AG440">
        <v>4.0000000000000001E-3</v>
      </c>
      <c r="AH440">
        <v>5.0000000000000001E-3</v>
      </c>
      <c r="AI440">
        <v>1.2E-2</v>
      </c>
      <c r="AJ440">
        <v>3.1E-2</v>
      </c>
      <c r="AK440">
        <v>3.7999999999999999E-2</v>
      </c>
      <c r="AL440">
        <v>3.7999999999999999E-2</v>
      </c>
      <c r="AM440">
        <v>3.5000000000000003E-2</v>
      </c>
      <c r="AN440">
        <v>3.7999999999999999E-2</v>
      </c>
      <c r="AO440">
        <v>2.1999999999999999E-2</v>
      </c>
      <c r="AP440">
        <v>1.9E-2</v>
      </c>
      <c r="AQ440">
        <v>6.0000000000000001E-3</v>
      </c>
      <c r="AR440">
        <v>0</v>
      </c>
      <c r="AS440">
        <v>1E-3</v>
      </c>
      <c r="AT440">
        <v>8.0000000000000002E-3</v>
      </c>
      <c r="AU440">
        <v>0.02</v>
      </c>
      <c r="AV440">
        <v>0.03</v>
      </c>
      <c r="AW440">
        <v>3.3000000000000002E-2</v>
      </c>
      <c r="AX440">
        <v>3.7999999999999999E-2</v>
      </c>
      <c r="AY440">
        <v>3.6999999999999998E-2</v>
      </c>
      <c r="AZ440">
        <v>3.4000000000000002E-2</v>
      </c>
    </row>
    <row r="441" spans="2:52">
      <c r="C441" t="s">
        <v>58</v>
      </c>
      <c r="D441" t="s">
        <v>384</v>
      </c>
      <c r="F441" s="1" t="s">
        <v>1495</v>
      </c>
      <c r="G441" s="1" t="s">
        <v>384</v>
      </c>
      <c r="H441" t="s">
        <v>198</v>
      </c>
      <c r="K441" t="s">
        <v>1496</v>
      </c>
      <c r="L441" s="7">
        <v>0.60599999999999998</v>
      </c>
      <c r="M441" s="8">
        <v>43389</v>
      </c>
      <c r="N441">
        <v>10</v>
      </c>
      <c r="O441" t="s">
        <v>71</v>
      </c>
      <c r="P441">
        <v>2018</v>
      </c>
      <c r="Q441">
        <v>0.16370000000000001</v>
      </c>
      <c r="R441" s="10"/>
      <c r="S441">
        <f>ROUND(ТабCЕС[[#This Row],[Зелений Тариф ЕЦ]]+ТабCЕС[[#This Row],[Зелений Тариф ЕЦ]]*ТабCЕС[[#This Row],[% надбавки]],4)</f>
        <v>0.16370000000000001</v>
      </c>
      <c r="T441" s="8"/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3.5000000000000003E-2</v>
      </c>
      <c r="AR441">
        <v>3.0000000000000001E-3</v>
      </c>
      <c r="AS441">
        <v>4.0000000000000001E-3</v>
      </c>
      <c r="AT441">
        <v>2.3E-2</v>
      </c>
      <c r="AU441">
        <v>5.0999999999999997E-2</v>
      </c>
      <c r="AV441">
        <v>7.6999999999999999E-2</v>
      </c>
      <c r="AW441">
        <v>7.9000000000000001E-2</v>
      </c>
      <c r="AX441">
        <v>0.10100000000000001</v>
      </c>
      <c r="AY441">
        <v>9.0999999999999998E-2</v>
      </c>
      <c r="AZ441">
        <v>0.09</v>
      </c>
    </row>
    <row r="442" spans="2:52">
      <c r="C442" t="s">
        <v>58</v>
      </c>
      <c r="D442" t="s">
        <v>384</v>
      </c>
      <c r="F442" s="1" t="s">
        <v>1497</v>
      </c>
      <c r="G442" s="1" t="s">
        <v>384</v>
      </c>
      <c r="H442" t="s">
        <v>65</v>
      </c>
      <c r="K442" t="s">
        <v>1498</v>
      </c>
      <c r="L442" s="7">
        <v>0.35</v>
      </c>
      <c r="M442" s="8">
        <v>43455</v>
      </c>
      <c r="N442">
        <v>12</v>
      </c>
      <c r="O442" t="s">
        <v>71</v>
      </c>
      <c r="P442">
        <v>2018</v>
      </c>
      <c r="Q442">
        <v>0.16370000000000001</v>
      </c>
      <c r="R442" s="10"/>
      <c r="S442">
        <f>ROUND(ТабCЕС[[#This Row],[Зелений Тариф ЕЦ]]+ТабCЕС[[#This Row],[Зелений Тариф ЕЦ]]*ТабCЕС[[#This Row],[% надбавки]],4)</f>
        <v>0.16370000000000001</v>
      </c>
      <c r="T442" s="8"/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1E-3</v>
      </c>
      <c r="AT442">
        <v>1.0999999999999999E-2</v>
      </c>
      <c r="AU442">
        <v>2.9000000000000001E-2</v>
      </c>
      <c r="AV442">
        <v>3.3000000000000002E-2</v>
      </c>
      <c r="AW442">
        <v>3.2000000000000001E-2</v>
      </c>
      <c r="AX442">
        <v>4.2999999999999997E-2</v>
      </c>
      <c r="AY442">
        <v>4.5999999999999999E-2</v>
      </c>
      <c r="AZ442">
        <v>3.7999999999999999E-2</v>
      </c>
    </row>
    <row r="443" spans="2:52">
      <c r="C443" t="s">
        <v>58</v>
      </c>
      <c r="D443" t="s">
        <v>384</v>
      </c>
      <c r="F443" s="1" t="s">
        <v>1499</v>
      </c>
      <c r="G443" s="1" t="s">
        <v>1500</v>
      </c>
      <c r="H443" t="s">
        <v>65</v>
      </c>
      <c r="K443" t="s">
        <v>1501</v>
      </c>
      <c r="L443" s="7">
        <v>1.391</v>
      </c>
      <c r="M443" s="8">
        <v>43396</v>
      </c>
      <c r="N443">
        <v>10</v>
      </c>
      <c r="O443" t="s">
        <v>71</v>
      </c>
      <c r="P443">
        <v>2018</v>
      </c>
      <c r="Q443">
        <v>0.16370000000000001</v>
      </c>
      <c r="R443" s="10"/>
      <c r="S443">
        <f>ROUND(ТабCЕС[[#This Row],[Зелений Тариф ЕЦ]]+ТабCЕС[[#This Row],[Зелений Тариф ЕЦ]]*ТабCЕС[[#This Row],[% надбавки]],4)</f>
        <v>0.16370000000000001</v>
      </c>
      <c r="T443" s="8"/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0.104</v>
      </c>
      <c r="AQ443">
        <v>2.1000000000000001E-2</v>
      </c>
      <c r="AR443">
        <v>2E-3</v>
      </c>
      <c r="AS443">
        <v>5.0000000000000001E-3</v>
      </c>
      <c r="AT443">
        <v>4.4999999999999998E-2</v>
      </c>
      <c r="AU443">
        <v>0.107</v>
      </c>
      <c r="AV443">
        <v>0.13900000000000001</v>
      </c>
      <c r="AW443">
        <v>0.14699999999999999</v>
      </c>
      <c r="AX443">
        <v>0.20399999999999999</v>
      </c>
      <c r="AY443">
        <v>0.19800000000000001</v>
      </c>
      <c r="AZ443">
        <v>0.17899999999999999</v>
      </c>
    </row>
    <row r="444" spans="2:52">
      <c r="C444" t="s">
        <v>58</v>
      </c>
      <c r="D444" t="s">
        <v>384</v>
      </c>
      <c r="F444" s="1" t="s">
        <v>617</v>
      </c>
      <c r="G444" s="1" t="s">
        <v>384</v>
      </c>
      <c r="H444" t="s">
        <v>107</v>
      </c>
      <c r="K444" t="s">
        <v>1502</v>
      </c>
      <c r="L444" s="7">
        <v>0.88200000000000001</v>
      </c>
      <c r="M444" s="8">
        <v>43596</v>
      </c>
      <c r="N444">
        <v>5</v>
      </c>
      <c r="O444" t="s">
        <v>57</v>
      </c>
      <c r="P444">
        <v>2019</v>
      </c>
      <c r="Q444">
        <v>0.16370000000000001</v>
      </c>
      <c r="R444" s="10"/>
      <c r="S444">
        <f>ROUND(ТабCЕС[[#This Row],[Зелений Тариф ЕЦ]]+ТабCЕС[[#This Row],[Зелений Тариф ЕЦ]]*ТабCЕС[[#This Row],[% надбавки]],4)</f>
        <v>0.16370000000000001</v>
      </c>
      <c r="T444" s="8"/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0.121</v>
      </c>
    </row>
    <row r="445" spans="2:52">
      <c r="C445" t="s">
        <v>58</v>
      </c>
      <c r="D445" t="s">
        <v>384</v>
      </c>
      <c r="F445" s="1" t="s">
        <v>1503</v>
      </c>
      <c r="G445" s="1" t="s">
        <v>384</v>
      </c>
      <c r="H445" t="s">
        <v>73</v>
      </c>
      <c r="K445" t="s">
        <v>1504</v>
      </c>
      <c r="L445" s="7">
        <v>0.60099999999999998</v>
      </c>
      <c r="M445" s="8">
        <v>42787</v>
      </c>
      <c r="N445">
        <v>2</v>
      </c>
      <c r="O445" t="s">
        <v>67</v>
      </c>
      <c r="P445">
        <v>2017</v>
      </c>
      <c r="Q445">
        <v>0.17230000000000001</v>
      </c>
      <c r="R445" s="10"/>
      <c r="S445">
        <f>ROUND(ТабCЕС[[#This Row],[Зелений Тариф ЕЦ]]+ТабCЕС[[#This Row],[Зелений Тариф ЕЦ]]*ТабCЕС[[#This Row],[% надбавки]],4)</f>
        <v>0.17230000000000001</v>
      </c>
      <c r="T445" s="8"/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5.8000000000000003E-2</v>
      </c>
      <c r="AB445">
        <v>8.0000000000000016E-2</v>
      </c>
      <c r="AC445">
        <v>6.5999999999999975E-2</v>
      </c>
      <c r="AD445">
        <v>3.3000000000000002E-2</v>
      </c>
      <c r="AE445">
        <v>1.7000000000000015E-2</v>
      </c>
      <c r="AF445">
        <v>1.2000000000000011E-2</v>
      </c>
      <c r="AG445">
        <v>1.4E-2</v>
      </c>
      <c r="AH445">
        <v>2.1000000000000001E-2</v>
      </c>
      <c r="AI445">
        <v>3.9E-2</v>
      </c>
      <c r="AJ445">
        <v>8.4000000000000005E-2</v>
      </c>
      <c r="AK445">
        <v>9.5000000000000001E-2</v>
      </c>
      <c r="AL445">
        <v>0.1</v>
      </c>
      <c r="AM445">
        <v>9.2999999999999999E-2</v>
      </c>
      <c r="AN445">
        <v>9.1999999999999998E-2</v>
      </c>
      <c r="AO445">
        <v>5.6000000000000001E-2</v>
      </c>
      <c r="AP445">
        <v>4.8000000000000001E-2</v>
      </c>
      <c r="AQ445">
        <v>1.7000000000000001E-2</v>
      </c>
      <c r="AR445">
        <v>8.9999999999999993E-3</v>
      </c>
      <c r="AS445">
        <v>1.2999999999999999E-2</v>
      </c>
      <c r="AT445">
        <v>2.5000000000000001E-2</v>
      </c>
      <c r="AU445">
        <v>5.8999999999999997E-2</v>
      </c>
      <c r="AV445">
        <v>7.5999999999999998E-2</v>
      </c>
      <c r="AW445">
        <v>8.6999999999999994E-2</v>
      </c>
      <c r="AX445">
        <v>9.8000000000000004E-2</v>
      </c>
      <c r="AY445">
        <v>0.10100000000000001</v>
      </c>
      <c r="AZ445">
        <v>8.6999999999999994E-2</v>
      </c>
    </row>
    <row r="446" spans="2:52">
      <c r="C446" t="s">
        <v>58</v>
      </c>
      <c r="D446" t="s">
        <v>384</v>
      </c>
      <c r="F446" s="1" t="s">
        <v>1505</v>
      </c>
      <c r="G446" s="1" t="s">
        <v>384</v>
      </c>
      <c r="H446" t="s">
        <v>62</v>
      </c>
      <c r="K446" t="s">
        <v>1506</v>
      </c>
      <c r="L446" s="7">
        <v>0.09</v>
      </c>
      <c r="M446" s="8">
        <v>43613</v>
      </c>
      <c r="N446">
        <v>5</v>
      </c>
      <c r="O446" t="s">
        <v>57</v>
      </c>
      <c r="P446">
        <v>2019</v>
      </c>
      <c r="Q446">
        <v>0.16370000000000001</v>
      </c>
      <c r="R446" s="10"/>
      <c r="S446">
        <f>ROUND(ТабCЕС[[#This Row],[Зелений Тариф ЕЦ]]+ТабCЕС[[#This Row],[Зелений Тариф ЕЦ]]*ТабCЕС[[#This Row],[% надбавки]],4)</f>
        <v>0.16370000000000001</v>
      </c>
      <c r="T446" s="8"/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2E-3</v>
      </c>
      <c r="AY446">
        <v>1.2E-2</v>
      </c>
      <c r="AZ446">
        <v>1.2999999999999999E-2</v>
      </c>
    </row>
    <row r="447" spans="2:52">
      <c r="C447" t="s">
        <v>58</v>
      </c>
      <c r="D447" t="s">
        <v>384</v>
      </c>
      <c r="F447" s="1" t="s">
        <v>1507</v>
      </c>
      <c r="G447" s="1" t="s">
        <v>384</v>
      </c>
      <c r="H447" t="s">
        <v>122</v>
      </c>
      <c r="K447" t="s">
        <v>1508</v>
      </c>
      <c r="L447" s="7">
        <v>0.13900000000000001</v>
      </c>
      <c r="M447" s="8">
        <v>43243</v>
      </c>
      <c r="N447">
        <v>5</v>
      </c>
      <c r="O447" t="s">
        <v>57</v>
      </c>
      <c r="P447">
        <v>2018</v>
      </c>
      <c r="Q447">
        <v>0.16370000000000001</v>
      </c>
      <c r="R447" s="10"/>
      <c r="S447">
        <f>ROUND(ТабCЕС[[#This Row],[Зелений Тариф ЕЦ]]+ТабCЕС[[#This Row],[Зелений Тариф ЕЦ]]*ТабCЕС[[#This Row],[% надбавки]],4)</f>
        <v>0.16370000000000001</v>
      </c>
      <c r="T447" s="8"/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</row>
    <row r="448" spans="2:52">
      <c r="C448" t="s">
        <v>58</v>
      </c>
      <c r="D448" t="s">
        <v>384</v>
      </c>
      <c r="F448" s="1" t="s">
        <v>1509</v>
      </c>
      <c r="G448" s="1" t="s">
        <v>384</v>
      </c>
      <c r="H448" t="s">
        <v>172</v>
      </c>
      <c r="K448" t="s">
        <v>1510</v>
      </c>
      <c r="L448" s="7">
        <v>0.15</v>
      </c>
      <c r="M448" s="8">
        <v>43396</v>
      </c>
      <c r="N448">
        <v>10</v>
      </c>
      <c r="O448" t="s">
        <v>71</v>
      </c>
      <c r="P448">
        <v>2018</v>
      </c>
      <c r="Q448">
        <v>0.16370000000000001</v>
      </c>
      <c r="R448" s="10"/>
      <c r="S448">
        <f>ROUND(ТабCЕС[[#This Row],[Зелений Тариф ЕЦ]]+ТабCЕС[[#This Row],[Зелений Тариф ЕЦ]]*ТабCЕС[[#This Row],[% надбавки]],4)</f>
        <v>0.16370000000000001</v>
      </c>
      <c r="T448" s="8"/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2E-3</v>
      </c>
      <c r="AR448">
        <v>0</v>
      </c>
      <c r="AS448">
        <v>1E-3</v>
      </c>
      <c r="AT448">
        <v>7.0000000000000001E-3</v>
      </c>
      <c r="AU448">
        <v>1.0999999999999999E-2</v>
      </c>
      <c r="AV448">
        <v>1.9E-2</v>
      </c>
      <c r="AW448">
        <v>1.6E-2</v>
      </c>
      <c r="AX448">
        <v>2.4E-2</v>
      </c>
      <c r="AY448">
        <v>2.3E-2</v>
      </c>
      <c r="AZ448">
        <v>2.3E-2</v>
      </c>
    </row>
    <row r="449" spans="2:52">
      <c r="B449" t="s">
        <v>1511</v>
      </c>
      <c r="C449">
        <v>40477453</v>
      </c>
      <c r="D449" t="s">
        <v>384</v>
      </c>
      <c r="F449" s="1" t="s">
        <v>1512</v>
      </c>
      <c r="G449" s="1" t="s">
        <v>384</v>
      </c>
      <c r="H449" t="s">
        <v>122</v>
      </c>
      <c r="K449" t="s">
        <v>1513</v>
      </c>
      <c r="L449" s="7">
        <v>0.2</v>
      </c>
      <c r="M449" s="8">
        <v>42753</v>
      </c>
      <c r="N449">
        <v>1</v>
      </c>
      <c r="O449" t="s">
        <v>67</v>
      </c>
      <c r="P449">
        <v>2017</v>
      </c>
      <c r="Q449">
        <v>0.17230000000000001</v>
      </c>
      <c r="R449" s="10"/>
      <c r="S449">
        <f>ROUND(ТабCЕС[[#This Row],[Зелений Тариф ЕЦ]]+ТабCЕС[[#This Row],[Зелений Тариф ЕЦ]]*ТабCЕС[[#This Row],[% надбавки]],4)</f>
        <v>0.17230000000000001</v>
      </c>
      <c r="T449" s="8"/>
      <c r="U449">
        <v>0</v>
      </c>
      <c r="V449">
        <v>0</v>
      </c>
      <c r="W449">
        <v>0</v>
      </c>
      <c r="X449">
        <v>0</v>
      </c>
      <c r="Y449">
        <v>3.1E-2</v>
      </c>
      <c r="Z449">
        <v>2.7000000000000003E-2</v>
      </c>
      <c r="AA449">
        <v>2.8999999999999991E-2</v>
      </c>
      <c r="AB449">
        <v>2.6000000000000009E-2</v>
      </c>
      <c r="AC449">
        <v>2.2000000000000006E-2</v>
      </c>
      <c r="AD449">
        <v>7.9999999999999793E-3</v>
      </c>
      <c r="AE449">
        <v>5.0000000000000044E-3</v>
      </c>
      <c r="AF449">
        <v>2.0000000000000018E-3</v>
      </c>
      <c r="AG449">
        <v>1E-3</v>
      </c>
      <c r="AH449">
        <v>6.0000000000000001E-3</v>
      </c>
      <c r="AI449">
        <v>7.0000000000000001E-3</v>
      </c>
      <c r="AJ449">
        <v>2.5000000000000001E-2</v>
      </c>
      <c r="AK449">
        <v>0.03</v>
      </c>
      <c r="AL449">
        <v>3.2000000000000001E-2</v>
      </c>
      <c r="AM449">
        <v>2.8000000000000001E-2</v>
      </c>
      <c r="AN449">
        <v>2.9000000000000001E-2</v>
      </c>
      <c r="AO449">
        <v>1.7999999999999999E-2</v>
      </c>
      <c r="AP449">
        <v>1.4E-2</v>
      </c>
      <c r="AQ449">
        <v>5.0000000000000001E-3</v>
      </c>
      <c r="AR449">
        <v>0</v>
      </c>
      <c r="AS449">
        <v>0</v>
      </c>
      <c r="AT449">
        <v>6.0000000000000001E-3</v>
      </c>
      <c r="AU449">
        <v>1.6E-2</v>
      </c>
      <c r="AV449">
        <v>2.4E-2</v>
      </c>
      <c r="AW449">
        <v>2.8000000000000001E-2</v>
      </c>
      <c r="AX449">
        <v>3.5000000000000003E-2</v>
      </c>
      <c r="AY449">
        <v>3.5000000000000003E-2</v>
      </c>
      <c r="AZ449">
        <v>0.03</v>
      </c>
    </row>
    <row r="450" spans="2:52">
      <c r="C450" t="s">
        <v>58</v>
      </c>
      <c r="D450" t="s">
        <v>384</v>
      </c>
      <c r="F450" s="1" t="s">
        <v>719</v>
      </c>
      <c r="G450" s="1" t="s">
        <v>384</v>
      </c>
      <c r="H450" t="s">
        <v>1465</v>
      </c>
      <c r="K450" t="s">
        <v>1514</v>
      </c>
      <c r="L450" s="7">
        <v>0.13900000000000001</v>
      </c>
      <c r="M450" s="8">
        <v>43627</v>
      </c>
      <c r="N450">
        <v>6</v>
      </c>
      <c r="O450" t="s">
        <v>57</v>
      </c>
      <c r="P450">
        <v>2019</v>
      </c>
      <c r="Q450">
        <v>0.16370000000000001</v>
      </c>
      <c r="R450" s="10"/>
      <c r="S450">
        <f>ROUND(ТабCЕС[[#This Row],[Зелений Тариф ЕЦ]]+ТабCЕС[[#This Row],[Зелений Тариф ЕЦ]]*ТабCЕС[[#This Row],[% надбавки]],4)</f>
        <v>0.16370000000000001</v>
      </c>
      <c r="T450" s="8"/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1.2E-2</v>
      </c>
    </row>
    <row r="451" spans="2:52">
      <c r="C451" t="s">
        <v>58</v>
      </c>
      <c r="D451" t="s">
        <v>384</v>
      </c>
      <c r="F451" s="1" t="s">
        <v>1515</v>
      </c>
      <c r="G451" s="1" t="s">
        <v>384</v>
      </c>
      <c r="H451" t="s">
        <v>73</v>
      </c>
      <c r="K451" t="s">
        <v>1516</v>
      </c>
      <c r="L451" s="7">
        <v>0.4</v>
      </c>
      <c r="M451" s="8">
        <v>42887</v>
      </c>
      <c r="N451">
        <v>6</v>
      </c>
      <c r="O451" t="s">
        <v>57</v>
      </c>
      <c r="P451">
        <v>2017</v>
      </c>
      <c r="Q451">
        <v>0.16370000000000001</v>
      </c>
      <c r="R451" s="10"/>
      <c r="S451">
        <f>ROUND(ТабCЕС[[#This Row],[Зелений Тариф ЕЦ]]+ТабCЕС[[#This Row],[Зелений Тариф ЕЦ]]*ТабCЕС[[#This Row],[% надбавки]],4)</f>
        <v>0.16370000000000001</v>
      </c>
      <c r="T451" s="8"/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5.3999999999999999E-2</v>
      </c>
      <c r="AL451">
        <v>0.05</v>
      </c>
      <c r="AM451">
        <v>4.9000000000000002E-2</v>
      </c>
      <c r="AN451">
        <v>5.2999999999999999E-2</v>
      </c>
      <c r="AO451">
        <v>3.5000000000000003E-2</v>
      </c>
      <c r="AP451">
        <v>0.03</v>
      </c>
      <c r="AQ451">
        <v>0.01</v>
      </c>
      <c r="AR451">
        <v>5.0000000000000001E-3</v>
      </c>
      <c r="AS451">
        <v>6.0000000000000001E-3</v>
      </c>
      <c r="AT451">
        <v>1.2E-2</v>
      </c>
      <c r="AU451">
        <v>3.3000000000000002E-2</v>
      </c>
      <c r="AV451">
        <v>4.4999999999999998E-2</v>
      </c>
      <c r="AW451">
        <v>4.7E-2</v>
      </c>
      <c r="AX451">
        <v>5.0999999999999997E-2</v>
      </c>
      <c r="AY451">
        <v>6.7000000000000004E-2</v>
      </c>
      <c r="AZ451">
        <v>6.2E-2</v>
      </c>
    </row>
    <row r="452" spans="2:52">
      <c r="C452" t="s">
        <v>58</v>
      </c>
      <c r="D452" t="s">
        <v>384</v>
      </c>
      <c r="F452" s="1" t="s">
        <v>1517</v>
      </c>
      <c r="G452" s="1" t="s">
        <v>384</v>
      </c>
      <c r="H452" t="s">
        <v>107</v>
      </c>
      <c r="K452" t="s">
        <v>1518</v>
      </c>
      <c r="L452" s="7">
        <v>0.24</v>
      </c>
      <c r="M452" s="8">
        <v>42753</v>
      </c>
      <c r="N452">
        <v>1</v>
      </c>
      <c r="O452" t="s">
        <v>67</v>
      </c>
      <c r="P452">
        <v>2017</v>
      </c>
      <c r="Q452">
        <v>0.17230000000000001</v>
      </c>
      <c r="R452" s="10"/>
      <c r="S452">
        <f>ROUND(ТабCЕС[[#This Row],[Зелений Тариф ЕЦ]]+ТабCЕС[[#This Row],[Зелений Тариф ЕЦ]]*ТабCЕС[[#This Row],[% надбавки]],4)</f>
        <v>0.17230000000000001</v>
      </c>
      <c r="T452" s="8"/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0.03</v>
      </c>
      <c r="AC452">
        <v>2.6000000000000002E-2</v>
      </c>
      <c r="AD452">
        <v>1.1000000000000003E-2</v>
      </c>
      <c r="AE452">
        <v>4.9999999999999906E-3</v>
      </c>
      <c r="AF452">
        <v>2.0000000000000018E-3</v>
      </c>
      <c r="AG452">
        <v>7.0000000000000001E-3</v>
      </c>
      <c r="AH452">
        <v>7.0000000000000001E-3</v>
      </c>
      <c r="AI452">
        <v>1.6E-2</v>
      </c>
      <c r="AJ452">
        <v>3.2000000000000001E-2</v>
      </c>
      <c r="AK452">
        <v>3.5000000000000003E-2</v>
      </c>
      <c r="AL452">
        <v>0.03</v>
      </c>
      <c r="AM452">
        <v>2.7E-2</v>
      </c>
      <c r="AN452">
        <v>3.4000000000000002E-2</v>
      </c>
      <c r="AO452">
        <v>2.5000000000000001E-2</v>
      </c>
      <c r="AP452">
        <v>2.1000000000000001E-2</v>
      </c>
      <c r="AQ452">
        <v>8.0000000000000002E-3</v>
      </c>
      <c r="AR452">
        <v>1E-3</v>
      </c>
      <c r="AS452">
        <v>4.0000000000000001E-3</v>
      </c>
      <c r="AT452">
        <v>1.0999999999999999E-2</v>
      </c>
      <c r="AU452">
        <v>2.1000000000000001E-2</v>
      </c>
      <c r="AV452">
        <v>2.9000000000000001E-2</v>
      </c>
      <c r="AW452">
        <v>2.9000000000000001E-2</v>
      </c>
      <c r="AX452">
        <v>3.3000000000000002E-2</v>
      </c>
      <c r="AY452">
        <v>0</v>
      </c>
      <c r="AZ452">
        <v>2.5000000000000001E-2</v>
      </c>
    </row>
    <row r="453" spans="2:52">
      <c r="B453" t="s">
        <v>1519</v>
      </c>
      <c r="C453">
        <v>30279204</v>
      </c>
      <c r="D453" t="s">
        <v>384</v>
      </c>
      <c r="F453" s="1" t="s">
        <v>760</v>
      </c>
      <c r="G453" s="1" t="s">
        <v>384</v>
      </c>
      <c r="H453" t="s">
        <v>198</v>
      </c>
      <c r="I453" t="s">
        <v>208</v>
      </c>
      <c r="J453" t="s">
        <v>1520</v>
      </c>
      <c r="K453" t="s">
        <v>1521</v>
      </c>
      <c r="L453" s="7">
        <v>0.23</v>
      </c>
      <c r="M453" s="8">
        <v>42404</v>
      </c>
      <c r="N453">
        <v>2</v>
      </c>
      <c r="O453" t="s">
        <v>67</v>
      </c>
      <c r="P453">
        <v>2016</v>
      </c>
      <c r="Q453">
        <v>0.1804</v>
      </c>
      <c r="R453" s="10"/>
      <c r="S453">
        <f>ROUND(ТабCЕС[[#This Row],[Зелений Тариф ЕЦ]]+ТабCЕС[[#This Row],[Зелений Тариф ЕЦ]]*ТабCЕС[[#This Row],[% надбавки]],4)</f>
        <v>0.1804</v>
      </c>
      <c r="T453" s="8"/>
      <c r="U453">
        <v>2E-3</v>
      </c>
      <c r="V453">
        <v>6.9999999999999993E-3</v>
      </c>
      <c r="W453">
        <v>2.0999999999999998E-2</v>
      </c>
      <c r="X453">
        <v>3.3000000000000002E-2</v>
      </c>
      <c r="Y453">
        <v>3.9999999999999994E-2</v>
      </c>
      <c r="Z453">
        <v>4.3999999999999997E-2</v>
      </c>
      <c r="AA453">
        <v>4.1000000000000009E-2</v>
      </c>
      <c r="AB453">
        <v>4.1000000000000009E-2</v>
      </c>
      <c r="AC453">
        <v>2.4999999999999994E-2</v>
      </c>
      <c r="AD453">
        <v>1.2000000000000011E-2</v>
      </c>
      <c r="AE453">
        <v>6.0000000000000053E-3</v>
      </c>
      <c r="AF453">
        <v>3.0000000000000027E-3</v>
      </c>
      <c r="AG453">
        <v>4.0000000000000001E-3</v>
      </c>
      <c r="AH453">
        <v>6.0000000000000001E-3</v>
      </c>
      <c r="AI453">
        <v>1.4E-2</v>
      </c>
      <c r="AJ453">
        <v>3.5000000000000003E-2</v>
      </c>
      <c r="AK453">
        <v>4.2000000000000003E-2</v>
      </c>
      <c r="AL453">
        <v>0.04</v>
      </c>
      <c r="AM453">
        <v>3.7999999999999999E-2</v>
      </c>
      <c r="AN453">
        <v>4.2000000000000003E-2</v>
      </c>
      <c r="AO453">
        <v>2.5999999999999999E-2</v>
      </c>
      <c r="AP453">
        <v>0.02</v>
      </c>
      <c r="AQ453">
        <v>6.0000000000000001E-3</v>
      </c>
      <c r="AR453">
        <v>1E-3</v>
      </c>
      <c r="AS453">
        <v>1E-3</v>
      </c>
      <c r="AT453">
        <v>0.01</v>
      </c>
      <c r="AU453">
        <v>1.7999999999999999E-2</v>
      </c>
      <c r="AV453">
        <v>2.8000000000000001E-2</v>
      </c>
      <c r="AW453">
        <v>0.03</v>
      </c>
      <c r="AX453">
        <v>3.7999999999999999E-2</v>
      </c>
      <c r="AY453">
        <v>3.4000000000000002E-2</v>
      </c>
      <c r="AZ453">
        <v>3.1E-2</v>
      </c>
    </row>
    <row r="454" spans="2:52">
      <c r="B454" t="s">
        <v>1522</v>
      </c>
      <c r="C454">
        <v>30279204</v>
      </c>
      <c r="D454" t="s">
        <v>384</v>
      </c>
      <c r="F454" s="1" t="s">
        <v>760</v>
      </c>
      <c r="G454" s="1" t="s">
        <v>384</v>
      </c>
      <c r="H454" t="s">
        <v>198</v>
      </c>
      <c r="I454" t="s">
        <v>208</v>
      </c>
      <c r="J454" t="s">
        <v>1523</v>
      </c>
      <c r="K454" t="s">
        <v>1524</v>
      </c>
      <c r="L454" s="7">
        <v>0.2</v>
      </c>
      <c r="M454" s="8">
        <v>42439</v>
      </c>
      <c r="N454">
        <v>3</v>
      </c>
      <c r="O454" t="s">
        <v>67</v>
      </c>
      <c r="P454">
        <v>2016</v>
      </c>
      <c r="Q454">
        <v>0.1804</v>
      </c>
      <c r="R454" s="10"/>
      <c r="S454">
        <f>ROUND(ТабCЕС[[#This Row],[Зелений Тариф ЕЦ]]+ТабCЕС[[#This Row],[Зелений Тариф ЕЦ]]*ТабCЕС[[#This Row],[% надбавки]],4)</f>
        <v>0.1804</v>
      </c>
      <c r="T454" s="8"/>
      <c r="U454">
        <v>8.9999999999999993E-3</v>
      </c>
      <c r="V454">
        <v>1.2999999999999999E-2</v>
      </c>
      <c r="W454">
        <v>2.3E-2</v>
      </c>
      <c r="X454">
        <v>3.8000000000000006E-2</v>
      </c>
      <c r="Y454">
        <v>4.4999999999999998E-2</v>
      </c>
      <c r="Z454">
        <v>4.6999999999999986E-2</v>
      </c>
      <c r="AA454">
        <v>4.4000000000000011E-2</v>
      </c>
      <c r="AB454">
        <v>4.300000000000001E-2</v>
      </c>
      <c r="AC454">
        <v>2.899999999999997E-2</v>
      </c>
      <c r="AD454">
        <v>1.7000000000000015E-2</v>
      </c>
      <c r="AE454">
        <v>1.0000000000000009E-2</v>
      </c>
      <c r="AF454">
        <v>5.0000000000000044E-3</v>
      </c>
      <c r="AG454">
        <v>7.0000000000000001E-3</v>
      </c>
      <c r="AH454">
        <v>0.01</v>
      </c>
      <c r="AI454">
        <v>1.6E-2</v>
      </c>
      <c r="AJ454">
        <v>3.9E-2</v>
      </c>
      <c r="AK454">
        <v>4.2999999999999997E-2</v>
      </c>
      <c r="AL454">
        <v>3.9E-2</v>
      </c>
      <c r="AM454">
        <v>3.6999999999999998E-2</v>
      </c>
      <c r="AN454">
        <v>0.04</v>
      </c>
      <c r="AO454">
        <v>2.4E-2</v>
      </c>
      <c r="AP454">
        <v>0.02</v>
      </c>
      <c r="AQ454">
        <v>5.0000000000000001E-3</v>
      </c>
      <c r="AR454">
        <v>1E-3</v>
      </c>
      <c r="AS454">
        <v>2E-3</v>
      </c>
      <c r="AT454">
        <v>8.0000000000000002E-3</v>
      </c>
      <c r="AU454">
        <v>1.7999999999999999E-2</v>
      </c>
      <c r="AV454">
        <v>2.5999999999999999E-2</v>
      </c>
      <c r="AW454">
        <v>2.8000000000000001E-2</v>
      </c>
      <c r="AX454">
        <v>3.3000000000000002E-2</v>
      </c>
      <c r="AY454">
        <v>2.8000000000000001E-2</v>
      </c>
      <c r="AZ454">
        <v>0.03</v>
      </c>
    </row>
    <row r="455" spans="2:52">
      <c r="C455" t="s">
        <v>58</v>
      </c>
      <c r="D455" t="s">
        <v>384</v>
      </c>
      <c r="F455" s="1" t="s">
        <v>1525</v>
      </c>
      <c r="G455" s="1" t="s">
        <v>384</v>
      </c>
      <c r="H455" t="s">
        <v>82</v>
      </c>
      <c r="K455" t="s">
        <v>1526</v>
      </c>
      <c r="L455" s="7">
        <v>0.2</v>
      </c>
      <c r="M455" s="8">
        <v>43641</v>
      </c>
      <c r="N455">
        <v>6</v>
      </c>
      <c r="O455" t="s">
        <v>57</v>
      </c>
      <c r="P455">
        <v>2019</v>
      </c>
      <c r="Q455">
        <v>0.16370000000000001</v>
      </c>
      <c r="R455" s="10"/>
      <c r="S455">
        <f>ROUND(ТабCЕС[[#This Row],[Зелений Тариф ЕЦ]]+ТабCЕС[[#This Row],[Зелений Тариф ЕЦ]]*ТабCЕС[[#This Row],[% надбавки]],4)</f>
        <v>0.16370000000000001</v>
      </c>
      <c r="T455" s="8"/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</row>
    <row r="456" spans="2:52">
      <c r="C456" t="s">
        <v>58</v>
      </c>
      <c r="D456" t="s">
        <v>384</v>
      </c>
      <c r="F456" s="1" t="s">
        <v>1527</v>
      </c>
      <c r="G456" s="1" t="s">
        <v>384</v>
      </c>
      <c r="H456" t="s">
        <v>65</v>
      </c>
      <c r="K456" t="s">
        <v>1528</v>
      </c>
      <c r="L456" s="7">
        <v>0.65100000000000002</v>
      </c>
      <c r="M456" s="8">
        <v>43613</v>
      </c>
      <c r="N456">
        <v>5</v>
      </c>
      <c r="O456" t="s">
        <v>57</v>
      </c>
      <c r="P456">
        <v>2019</v>
      </c>
      <c r="Q456">
        <v>0.16370000000000001</v>
      </c>
      <c r="R456" s="10"/>
      <c r="S456">
        <f>ROUND(ТабCЕС[[#This Row],[Зелений Тариф ЕЦ]]+ТабCЕС[[#This Row],[Зелений Тариф ЕЦ]]*ТабCЕС[[#This Row],[% надбавки]],4)</f>
        <v>0.16370000000000001</v>
      </c>
      <c r="T456" s="8"/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9.2999999999999999E-2</v>
      </c>
      <c r="AY456">
        <v>9.7000000000000003E-2</v>
      </c>
      <c r="AZ456">
        <v>8.6999999999999994E-2</v>
      </c>
    </row>
    <row r="457" spans="2:52">
      <c r="C457" t="s">
        <v>58</v>
      </c>
      <c r="D457" t="s">
        <v>384</v>
      </c>
      <c r="F457" s="1" t="s">
        <v>804</v>
      </c>
      <c r="G457" s="1" t="s">
        <v>384</v>
      </c>
      <c r="H457" t="s">
        <v>122</v>
      </c>
      <c r="K457" t="s">
        <v>1529</v>
      </c>
      <c r="L457" s="7">
        <v>0.77200000000000002</v>
      </c>
      <c r="M457" s="8">
        <v>43382</v>
      </c>
      <c r="N457">
        <v>10</v>
      </c>
      <c r="O457" t="s">
        <v>71</v>
      </c>
      <c r="P457">
        <v>2018</v>
      </c>
      <c r="Q457">
        <v>0.16370000000000001</v>
      </c>
      <c r="R457" s="10"/>
      <c r="S457">
        <f>ROUND(ТабCЕС[[#This Row],[Зелений Тариф ЕЦ]]+ТабCЕС[[#This Row],[Зелений Тариф ЕЦ]]*ТабCЕС[[#This Row],[% надбавки]],4)</f>
        <v>0.16370000000000001</v>
      </c>
      <c r="T457" s="8"/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1.7999999999999999E-2</v>
      </c>
      <c r="AU457">
        <v>6.4000000000000001E-2</v>
      </c>
      <c r="AV457">
        <v>9.8000000000000004E-2</v>
      </c>
      <c r="AW457">
        <v>0.113</v>
      </c>
      <c r="AX457">
        <v>0.129</v>
      </c>
      <c r="AY457">
        <v>0.13100000000000001</v>
      </c>
      <c r="AZ457">
        <v>0.108</v>
      </c>
    </row>
    <row r="458" spans="2:52">
      <c r="C458" t="s">
        <v>58</v>
      </c>
      <c r="D458" t="s">
        <v>384</v>
      </c>
      <c r="F458" s="1" t="s">
        <v>1530</v>
      </c>
      <c r="G458" s="1" t="s">
        <v>384</v>
      </c>
      <c r="H458" t="s">
        <v>233</v>
      </c>
      <c r="K458" t="s">
        <v>1531</v>
      </c>
      <c r="L458" s="7">
        <v>0.74099999999999999</v>
      </c>
      <c r="M458" s="8">
        <v>43403</v>
      </c>
      <c r="N458">
        <v>10</v>
      </c>
      <c r="O458" t="s">
        <v>71</v>
      </c>
      <c r="P458">
        <v>2018</v>
      </c>
      <c r="Q458">
        <v>0.16370000000000001</v>
      </c>
      <c r="R458" s="10"/>
      <c r="S458">
        <f>ROUND(ТабCЕС[[#This Row],[Зелений Тариф ЕЦ]]+ТабCЕС[[#This Row],[Зелений Тариф ЕЦ]]*ТабCЕС[[#This Row],[% надбавки]],4)</f>
        <v>0.16370000000000001</v>
      </c>
      <c r="T458" s="8"/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1E-3</v>
      </c>
      <c r="AT458">
        <v>2.1000000000000001E-2</v>
      </c>
      <c r="AU458">
        <v>3.5000000000000003E-2</v>
      </c>
      <c r="AV458">
        <v>4.4999999999999998E-2</v>
      </c>
      <c r="AW458">
        <v>3.9E-2</v>
      </c>
      <c r="AX458">
        <v>6.2E-2</v>
      </c>
      <c r="AY458">
        <v>0.05</v>
      </c>
      <c r="AZ458">
        <v>5.2999999999999999E-2</v>
      </c>
    </row>
    <row r="459" spans="2:52">
      <c r="C459" t="s">
        <v>58</v>
      </c>
      <c r="D459" t="s">
        <v>384</v>
      </c>
      <c r="F459" s="1" t="s">
        <v>1532</v>
      </c>
      <c r="G459" s="1" t="s">
        <v>384</v>
      </c>
      <c r="H459" t="s">
        <v>172</v>
      </c>
      <c r="K459" t="s">
        <v>1533</v>
      </c>
      <c r="L459" s="7">
        <v>9.9000000000000005E-2</v>
      </c>
      <c r="M459" s="8">
        <v>43182</v>
      </c>
      <c r="N459">
        <v>3</v>
      </c>
      <c r="O459" t="s">
        <v>67</v>
      </c>
      <c r="P459">
        <v>2018</v>
      </c>
      <c r="Q459">
        <v>0.16370000000000001</v>
      </c>
      <c r="R459" s="10"/>
      <c r="S459">
        <f>ROUND(ТабCЕС[[#This Row],[Зелений Тариф ЕЦ]]+ТабCЕС[[#This Row],[Зелений Тариф ЕЦ]]*ТабCЕС[[#This Row],[% надбавки]],4)</f>
        <v>0.16370000000000001</v>
      </c>
      <c r="T459" s="8"/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8.9999999999999993E-3</v>
      </c>
      <c r="AP459">
        <v>7.0000000000000001E-3</v>
      </c>
      <c r="AQ459">
        <v>1E-3</v>
      </c>
      <c r="AR459">
        <v>0</v>
      </c>
      <c r="AS459">
        <v>0</v>
      </c>
      <c r="AT459">
        <v>3.0000000000000001E-3</v>
      </c>
      <c r="AU459">
        <v>7.0000000000000001E-3</v>
      </c>
      <c r="AV459">
        <v>7.0000000000000001E-3</v>
      </c>
      <c r="AW459">
        <v>7.0000000000000001E-3</v>
      </c>
      <c r="AX459">
        <v>0.01</v>
      </c>
      <c r="AY459">
        <v>8.0000000000000002E-3</v>
      </c>
      <c r="AZ459">
        <v>0.01</v>
      </c>
    </row>
    <row r="460" spans="2:52">
      <c r="C460" t="s">
        <v>58</v>
      </c>
      <c r="D460" t="s">
        <v>384</v>
      </c>
      <c r="F460" s="1" t="s">
        <v>1534</v>
      </c>
      <c r="G460" s="1" t="s">
        <v>384</v>
      </c>
      <c r="H460" t="s">
        <v>65</v>
      </c>
      <c r="K460" t="s">
        <v>1535</v>
      </c>
      <c r="L460" s="7">
        <v>0.19900000000000001</v>
      </c>
      <c r="M460" s="8">
        <v>42822</v>
      </c>
      <c r="N460">
        <v>3</v>
      </c>
      <c r="O460" t="s">
        <v>67</v>
      </c>
      <c r="P460">
        <v>2017</v>
      </c>
      <c r="Q460">
        <v>0.17230000000000001</v>
      </c>
      <c r="R460" s="10"/>
      <c r="S460">
        <f>ROUND(ТабCЕС[[#This Row],[Зелений Тариф ЕЦ]]+ТабCЕС[[#This Row],[Зелений Тариф ЕЦ]]*ТабCЕС[[#This Row],[% надбавки]],4)</f>
        <v>0.17230000000000001</v>
      </c>
      <c r="T460" s="8"/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4.0000000000000001E-3</v>
      </c>
      <c r="AH460">
        <v>2E-3</v>
      </c>
      <c r="AI460">
        <v>7.0000000000000001E-3</v>
      </c>
      <c r="AJ460">
        <v>2.5000000000000001E-2</v>
      </c>
      <c r="AK460">
        <v>2.8000000000000001E-2</v>
      </c>
      <c r="AL460">
        <v>2.1999999999999999E-2</v>
      </c>
      <c r="AM460">
        <v>2.4E-2</v>
      </c>
      <c r="AN460">
        <v>2.4E-2</v>
      </c>
      <c r="AO460">
        <v>1.7999999999999999E-2</v>
      </c>
      <c r="AP460">
        <v>1.2E-2</v>
      </c>
      <c r="AQ460">
        <v>3.0000000000000001E-3</v>
      </c>
      <c r="AR460">
        <v>0</v>
      </c>
      <c r="AS460">
        <v>0</v>
      </c>
      <c r="AT460">
        <v>1.4E-2</v>
      </c>
      <c r="AU460">
        <v>4.2000000000000003E-2</v>
      </c>
      <c r="AV460">
        <v>5.1999999999999998E-2</v>
      </c>
      <c r="AW460">
        <v>5.2999999999999999E-2</v>
      </c>
      <c r="AX460">
        <v>7.5999999999999998E-2</v>
      </c>
      <c r="AY460">
        <v>7.9000000000000001E-2</v>
      </c>
      <c r="AZ460">
        <v>6.8000000000000005E-2</v>
      </c>
    </row>
    <row r="461" spans="2:52">
      <c r="C461" t="s">
        <v>58</v>
      </c>
      <c r="D461" t="s">
        <v>384</v>
      </c>
      <c r="F461" s="1" t="s">
        <v>1534</v>
      </c>
      <c r="G461" s="1" t="s">
        <v>384</v>
      </c>
      <c r="H461" t="s">
        <v>65</v>
      </c>
      <c r="K461" t="s">
        <v>1536</v>
      </c>
      <c r="L461" s="7">
        <v>0.35199999999999998</v>
      </c>
      <c r="M461" s="8">
        <v>43490</v>
      </c>
      <c r="N461">
        <v>1</v>
      </c>
      <c r="O461" t="s">
        <v>67</v>
      </c>
      <c r="P461">
        <v>2019</v>
      </c>
      <c r="Q461">
        <v>0.16370000000000001</v>
      </c>
      <c r="R461" s="10"/>
      <c r="S461">
        <f>ROUND(ТабCЕС[[#This Row],[Зелений Тариф ЕЦ]]+ТабCЕС[[#This Row],[Зелений Тариф ЕЦ]]*ТабCЕС[[#This Row],[% надбавки]],4)</f>
        <v>0.16370000000000001</v>
      </c>
      <c r="T461" s="8"/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</row>
    <row r="462" spans="2:52">
      <c r="C462" t="s">
        <v>58</v>
      </c>
      <c r="D462" t="s">
        <v>384</v>
      </c>
      <c r="F462" s="1" t="s">
        <v>1537</v>
      </c>
      <c r="G462" s="1" t="s">
        <v>384</v>
      </c>
      <c r="H462" t="s">
        <v>65</v>
      </c>
      <c r="K462" t="s">
        <v>1538</v>
      </c>
      <c r="L462" s="7">
        <v>0.33</v>
      </c>
      <c r="M462" s="8">
        <v>43368</v>
      </c>
      <c r="N462">
        <v>9</v>
      </c>
      <c r="O462" t="s">
        <v>60</v>
      </c>
      <c r="P462">
        <v>2018</v>
      </c>
      <c r="Q462">
        <v>0.16370000000000001</v>
      </c>
      <c r="R462" s="10"/>
      <c r="S462">
        <f>ROUND(ТабCЕС[[#This Row],[Зелений Тариф ЕЦ]]+ТабCЕС[[#This Row],[Зелений Тариф ЕЦ]]*ТабCЕС[[#This Row],[% надбавки]],4)</f>
        <v>0.16370000000000001</v>
      </c>
      <c r="T462" s="8"/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3.2000000000000001E-2</v>
      </c>
      <c r="AP462">
        <v>2.7E-2</v>
      </c>
      <c r="AQ462">
        <v>6.0000000000000001E-3</v>
      </c>
      <c r="AR462">
        <v>2E-3</v>
      </c>
      <c r="AS462">
        <v>1E-3</v>
      </c>
      <c r="AT462">
        <v>1.0999999999999999E-2</v>
      </c>
      <c r="AU462">
        <v>0.03</v>
      </c>
      <c r="AV462">
        <v>3.5000000000000003E-2</v>
      </c>
      <c r="AW462">
        <v>3.5000000000000003E-2</v>
      </c>
      <c r="AX462">
        <v>5.0999999999999997E-2</v>
      </c>
      <c r="AY462">
        <v>4.9000000000000002E-2</v>
      </c>
      <c r="AZ462">
        <v>4.4999999999999998E-2</v>
      </c>
    </row>
    <row r="463" spans="2:52">
      <c r="C463" t="s">
        <v>58</v>
      </c>
      <c r="D463" t="s">
        <v>384</v>
      </c>
      <c r="F463" s="1" t="s">
        <v>1539</v>
      </c>
      <c r="G463" s="1" t="s">
        <v>384</v>
      </c>
      <c r="H463" t="s">
        <v>176</v>
      </c>
      <c r="K463" t="s">
        <v>1540</v>
      </c>
      <c r="L463" s="7">
        <v>0.05</v>
      </c>
      <c r="M463" s="8">
        <v>42432</v>
      </c>
      <c r="N463">
        <v>3</v>
      </c>
      <c r="O463" t="s">
        <v>67</v>
      </c>
      <c r="P463">
        <v>2016</v>
      </c>
      <c r="Q463">
        <v>0.1804</v>
      </c>
      <c r="R463" s="10"/>
      <c r="S463">
        <f>ROUND(ТабCЕС[[#This Row],[Зелений Тариф ЕЦ]]+ТабCЕС[[#This Row],[Зелений Тариф ЕЦ]]*ТабCЕС[[#This Row],[% надбавки]],4)</f>
        <v>0.1804</v>
      </c>
      <c r="T463" s="8"/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1E-3</v>
      </c>
      <c r="AJ463">
        <v>6.0000000000000001E-3</v>
      </c>
      <c r="AK463">
        <v>7.0000000000000001E-3</v>
      </c>
      <c r="AL463">
        <v>7.0000000000000001E-3</v>
      </c>
      <c r="AM463">
        <v>6.0000000000000001E-3</v>
      </c>
      <c r="AN463">
        <v>7.0000000000000001E-3</v>
      </c>
      <c r="AO463">
        <v>4.0000000000000001E-3</v>
      </c>
      <c r="AP463">
        <v>3.0000000000000001E-3</v>
      </c>
      <c r="AQ463">
        <v>1E-3</v>
      </c>
      <c r="AR463">
        <v>0</v>
      </c>
      <c r="AS463">
        <v>0</v>
      </c>
      <c r="AT463">
        <v>2E-3</v>
      </c>
      <c r="AU463">
        <v>3.0000000000000001E-3</v>
      </c>
      <c r="AV463">
        <v>5.0000000000000001E-3</v>
      </c>
      <c r="AW463">
        <v>6.0000000000000001E-3</v>
      </c>
      <c r="AX463">
        <v>7.0000000000000001E-3</v>
      </c>
      <c r="AY463">
        <v>7.0000000000000001E-3</v>
      </c>
      <c r="AZ463">
        <v>6.0000000000000001E-3</v>
      </c>
    </row>
    <row r="464" spans="2:52">
      <c r="C464" t="s">
        <v>58</v>
      </c>
      <c r="D464" t="s">
        <v>384</v>
      </c>
      <c r="F464" s="1" t="s">
        <v>1541</v>
      </c>
      <c r="G464" s="1" t="s">
        <v>384</v>
      </c>
      <c r="H464" t="s">
        <v>65</v>
      </c>
      <c r="K464" t="s">
        <v>1542</v>
      </c>
      <c r="L464" s="7">
        <v>0.21</v>
      </c>
      <c r="M464" s="8">
        <v>43613</v>
      </c>
      <c r="N464">
        <v>5</v>
      </c>
      <c r="O464" t="s">
        <v>57</v>
      </c>
      <c r="P464">
        <v>2019</v>
      </c>
      <c r="Q464">
        <v>0.16370000000000001</v>
      </c>
      <c r="R464" s="10"/>
      <c r="S464">
        <f>ROUND(ТабCЕС[[#This Row],[Зелений Тариф ЕЦ]]+ТабCЕС[[#This Row],[Зелений Тариф ЕЦ]]*ТабCЕС[[#This Row],[% надбавки]],4)</f>
        <v>0.16370000000000001</v>
      </c>
      <c r="T464" s="8"/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1.2999999999999999E-2</v>
      </c>
      <c r="AZ464">
        <v>2.7E-2</v>
      </c>
    </row>
    <row r="465" spans="2:52">
      <c r="C465" t="s">
        <v>58</v>
      </c>
      <c r="D465" t="s">
        <v>384</v>
      </c>
      <c r="F465" s="1" t="s">
        <v>1543</v>
      </c>
      <c r="G465" s="1" t="s">
        <v>384</v>
      </c>
      <c r="H465" t="s">
        <v>233</v>
      </c>
      <c r="K465" t="s">
        <v>1544</v>
      </c>
      <c r="L465" s="7">
        <v>0.1</v>
      </c>
      <c r="M465" s="8">
        <v>43340</v>
      </c>
      <c r="N465">
        <v>8</v>
      </c>
      <c r="O465" t="s">
        <v>60</v>
      </c>
      <c r="P465">
        <v>2018</v>
      </c>
      <c r="Q465">
        <v>0.16370000000000001</v>
      </c>
      <c r="R465" s="10"/>
      <c r="S465">
        <f>ROUND(ТабCЕС[[#This Row],[Зелений Тариф ЕЦ]]+ТабCЕС[[#This Row],[Зелений Тариф ЕЦ]]*ТабCЕС[[#This Row],[% надбавки]],4)</f>
        <v>0.16370000000000001</v>
      </c>
      <c r="T465" s="8"/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6.0000000000000001E-3</v>
      </c>
      <c r="AU465">
        <v>1.0999999999999999E-2</v>
      </c>
      <c r="AV465">
        <v>1.2999999999999999E-2</v>
      </c>
      <c r="AW465">
        <v>1.2E-2</v>
      </c>
      <c r="AX465">
        <v>1.6E-2</v>
      </c>
      <c r="AY465">
        <v>0.01</v>
      </c>
      <c r="AZ465">
        <v>1.6E-2</v>
      </c>
    </row>
    <row r="466" spans="2:52">
      <c r="C466" t="s">
        <v>58</v>
      </c>
      <c r="D466" t="s">
        <v>384</v>
      </c>
      <c r="F466" s="1" t="s">
        <v>1543</v>
      </c>
      <c r="G466" s="1" t="s">
        <v>384</v>
      </c>
      <c r="H466" t="s">
        <v>233</v>
      </c>
      <c r="K466" t="s">
        <v>1545</v>
      </c>
      <c r="L466" s="7">
        <v>5.0999999999999997E-2</v>
      </c>
      <c r="M466" s="8">
        <v>43676</v>
      </c>
      <c r="N466">
        <v>7</v>
      </c>
      <c r="O466" t="s">
        <v>60</v>
      </c>
      <c r="P466">
        <v>2019</v>
      </c>
      <c r="Q466">
        <v>0.16370000000000001</v>
      </c>
      <c r="R466" s="10"/>
      <c r="S466">
        <f>ROUND(ТабCЕС[[#This Row],[Зелений Тариф ЕЦ]]+ТабCЕС[[#This Row],[Зелений Тариф ЕЦ]]*ТабCЕС[[#This Row],[% надбавки]],4)</f>
        <v>0.16370000000000001</v>
      </c>
      <c r="T466" s="8"/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</row>
    <row r="467" spans="2:52">
      <c r="C467" t="s">
        <v>58</v>
      </c>
      <c r="D467" t="s">
        <v>384</v>
      </c>
      <c r="F467" s="1" t="s">
        <v>1546</v>
      </c>
      <c r="G467" s="1" t="s">
        <v>384</v>
      </c>
      <c r="H467" t="s">
        <v>122</v>
      </c>
      <c r="K467" t="s">
        <v>1547</v>
      </c>
      <c r="L467" s="7">
        <v>1.3049999999999999</v>
      </c>
      <c r="M467" s="8">
        <v>43130</v>
      </c>
      <c r="N467">
        <v>1</v>
      </c>
      <c r="O467" t="s">
        <v>67</v>
      </c>
      <c r="P467">
        <v>2018</v>
      </c>
      <c r="Q467">
        <v>0.16370000000000001</v>
      </c>
      <c r="R467" s="10"/>
      <c r="S467">
        <f>ROUND(ТабCЕС[[#This Row],[Зелений Тариф ЕЦ]]+ТабCЕС[[#This Row],[Зелений Тариф ЕЦ]]*ТабCЕС[[#This Row],[% надбавки]],4)</f>
        <v>0.16370000000000001</v>
      </c>
      <c r="T467" s="8"/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0.121</v>
      </c>
      <c r="AP467">
        <v>0.10199999999999999</v>
      </c>
      <c r="AQ467">
        <v>3.4000000000000002E-2</v>
      </c>
      <c r="AR467">
        <v>5.0000000000000001E-3</v>
      </c>
      <c r="AS467">
        <v>0</v>
      </c>
      <c r="AT467">
        <v>4.7E-2</v>
      </c>
      <c r="AU467">
        <v>0.115</v>
      </c>
      <c r="AV467">
        <v>0.16600000000000001</v>
      </c>
      <c r="AW467">
        <v>0.182</v>
      </c>
      <c r="AX467">
        <v>0.21199999999999999</v>
      </c>
      <c r="AY467">
        <v>0.214</v>
      </c>
      <c r="AZ467">
        <v>0.17599999999999999</v>
      </c>
    </row>
    <row r="468" spans="2:52">
      <c r="C468" t="s">
        <v>58</v>
      </c>
      <c r="D468" t="s">
        <v>384</v>
      </c>
      <c r="F468" s="1" t="s">
        <v>1548</v>
      </c>
      <c r="G468" s="1" t="s">
        <v>384</v>
      </c>
      <c r="H468" t="s">
        <v>163</v>
      </c>
      <c r="K468" t="s">
        <v>1549</v>
      </c>
      <c r="L468" s="7">
        <v>0.19400000000000001</v>
      </c>
      <c r="M468" s="8">
        <v>43361</v>
      </c>
      <c r="N468">
        <v>9</v>
      </c>
      <c r="O468" t="s">
        <v>60</v>
      </c>
      <c r="P468">
        <v>2018</v>
      </c>
      <c r="Q468">
        <v>0.16370000000000001</v>
      </c>
      <c r="R468" s="10"/>
      <c r="S468">
        <f>ROUND(ТабCЕС[[#This Row],[Зелений Тариф ЕЦ]]+ТабCЕС[[#This Row],[Зелений Тариф ЕЦ]]*ТабCЕС[[#This Row],[% надбавки]],4)</f>
        <v>0.16370000000000001</v>
      </c>
      <c r="T468" s="8"/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2.9000000000000001E-2</v>
      </c>
      <c r="AY468">
        <v>0.03</v>
      </c>
      <c r="AZ468">
        <v>2.8000000000000001E-2</v>
      </c>
    </row>
    <row r="469" spans="2:52">
      <c r="C469" t="s">
        <v>58</v>
      </c>
      <c r="D469" t="s">
        <v>384</v>
      </c>
      <c r="F469" s="1" t="s">
        <v>1550</v>
      </c>
      <c r="G469" s="1" t="s">
        <v>384</v>
      </c>
      <c r="H469" t="s">
        <v>73</v>
      </c>
      <c r="K469" t="s">
        <v>1551</v>
      </c>
      <c r="L469" s="7">
        <v>0.1</v>
      </c>
      <c r="M469" s="8">
        <v>43434</v>
      </c>
      <c r="N469">
        <v>11</v>
      </c>
      <c r="O469" t="s">
        <v>71</v>
      </c>
      <c r="P469">
        <v>2018</v>
      </c>
      <c r="Q469">
        <v>0.16370000000000001</v>
      </c>
      <c r="R469" s="10"/>
      <c r="S469">
        <f>ROUND(ТабCЕС[[#This Row],[Зелений Тариф ЕЦ]]+ТабCЕС[[#This Row],[Зелений Тариф ЕЦ]]*ТабCЕС[[#This Row],[% надбавки]],4)</f>
        <v>0.16370000000000001</v>
      </c>
      <c r="T469" s="8"/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</row>
    <row r="470" spans="2:52">
      <c r="C470" t="s">
        <v>58</v>
      </c>
      <c r="D470" t="s">
        <v>384</v>
      </c>
      <c r="F470" s="1" t="s">
        <v>1552</v>
      </c>
      <c r="G470" s="1" t="s">
        <v>384</v>
      </c>
      <c r="H470" t="s">
        <v>172</v>
      </c>
      <c r="K470" t="s">
        <v>1553</v>
      </c>
      <c r="L470" s="7">
        <v>0.245</v>
      </c>
      <c r="M470" s="8">
        <v>43371</v>
      </c>
      <c r="N470">
        <v>9</v>
      </c>
      <c r="O470" t="s">
        <v>60</v>
      </c>
      <c r="P470">
        <v>2018</v>
      </c>
      <c r="Q470">
        <v>0.16370000000000001</v>
      </c>
      <c r="R470" s="10"/>
      <c r="S470">
        <f>ROUND(ТабCЕС[[#This Row],[Зелений Тариф ЕЦ]]+ТабCЕС[[#This Row],[Зелений Тариф ЕЦ]]*ТабCЕС[[#This Row],[% надбавки]],4)</f>
        <v>0.16370000000000001</v>
      </c>
      <c r="T470" s="8"/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4.0000000000000001E-3</v>
      </c>
      <c r="AR470">
        <v>2E-3</v>
      </c>
      <c r="AS470">
        <v>4.0000000000000001E-3</v>
      </c>
      <c r="AT470">
        <v>1.0999999999999999E-2</v>
      </c>
      <c r="AU470">
        <v>2.1999999999999999E-2</v>
      </c>
      <c r="AV470">
        <v>3.3000000000000002E-2</v>
      </c>
      <c r="AW470">
        <v>3.4000000000000002E-2</v>
      </c>
      <c r="AX470">
        <v>3.7999999999999999E-2</v>
      </c>
      <c r="AY470">
        <v>4.5999999999999999E-2</v>
      </c>
      <c r="AZ470">
        <v>3.5999999999999997E-2</v>
      </c>
    </row>
    <row r="471" spans="2:52">
      <c r="C471" t="s">
        <v>58</v>
      </c>
      <c r="D471" t="s">
        <v>384</v>
      </c>
      <c r="F471" s="1" t="s">
        <v>1552</v>
      </c>
      <c r="G471" s="1" t="s">
        <v>384</v>
      </c>
      <c r="H471" t="s">
        <v>172</v>
      </c>
      <c r="K471" t="s">
        <v>1554</v>
      </c>
      <c r="L471" s="7">
        <v>0.41499999999999998</v>
      </c>
      <c r="M471" s="8">
        <v>43692</v>
      </c>
      <c r="N471">
        <v>8</v>
      </c>
      <c r="O471" t="s">
        <v>60</v>
      </c>
      <c r="P471">
        <v>2019</v>
      </c>
      <c r="Q471">
        <v>0.16370000000000001</v>
      </c>
      <c r="R471" s="10"/>
      <c r="S471">
        <f>ROUND(ТабCЕС[[#This Row],[Зелений Тариф ЕЦ]]+ТабCЕС[[#This Row],[Зелений Тариф ЕЦ]]*ТабCЕС[[#This Row],[% надбавки]],4)</f>
        <v>0.16370000000000001</v>
      </c>
      <c r="T471" s="8"/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</row>
    <row r="472" spans="2:52">
      <c r="C472" t="s">
        <v>58</v>
      </c>
      <c r="D472" t="s">
        <v>384</v>
      </c>
      <c r="F472" s="1" t="s">
        <v>1555</v>
      </c>
      <c r="G472" s="1" t="s">
        <v>384</v>
      </c>
      <c r="H472" t="s">
        <v>73</v>
      </c>
      <c r="K472" t="s">
        <v>1556</v>
      </c>
      <c r="L472" s="7">
        <v>2.2690000000000001</v>
      </c>
      <c r="M472" s="8">
        <v>43263</v>
      </c>
      <c r="N472">
        <v>6</v>
      </c>
      <c r="O472" t="s">
        <v>57</v>
      </c>
      <c r="P472">
        <v>2018</v>
      </c>
      <c r="Q472">
        <v>0.16370000000000001</v>
      </c>
      <c r="R472" s="10"/>
      <c r="S472">
        <f>ROUND(ТабCЕС[[#This Row],[Зелений Тариф ЕЦ]]+ТабCЕС[[#This Row],[Зелений Тариф ЕЦ]]*ТабCЕС[[#This Row],[% надбавки]],4)</f>
        <v>0.16370000000000001</v>
      </c>
      <c r="T472" s="8"/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0.316</v>
      </c>
      <c r="AN472">
        <v>0.34399999999999997</v>
      </c>
      <c r="AO472">
        <v>0.23799999999999999</v>
      </c>
      <c r="AP472">
        <v>0.22</v>
      </c>
      <c r="AQ472">
        <v>0.08</v>
      </c>
      <c r="AR472">
        <v>4.3999999999999997E-2</v>
      </c>
      <c r="AS472">
        <v>5.1999999999999998E-2</v>
      </c>
      <c r="AT472">
        <v>0.10199999999999999</v>
      </c>
      <c r="AU472">
        <v>0.23799999999999999</v>
      </c>
      <c r="AV472">
        <v>0.29699999999999999</v>
      </c>
      <c r="AW472">
        <v>0.33900000000000002</v>
      </c>
      <c r="AX472">
        <v>0.35299999999999998</v>
      </c>
      <c r="AY472">
        <v>0.318</v>
      </c>
      <c r="AZ472">
        <v>0.318</v>
      </c>
    </row>
    <row r="473" spans="2:52">
      <c r="C473" t="s">
        <v>58</v>
      </c>
      <c r="D473" t="s">
        <v>384</v>
      </c>
      <c r="F473" s="1" t="s">
        <v>1557</v>
      </c>
      <c r="G473" s="1" t="s">
        <v>384</v>
      </c>
      <c r="H473" t="s">
        <v>1465</v>
      </c>
      <c r="K473" t="s">
        <v>1558</v>
      </c>
      <c r="L473" s="7">
        <v>8.8999999999999996E-2</v>
      </c>
      <c r="M473" s="8">
        <v>43158</v>
      </c>
      <c r="N473">
        <v>2</v>
      </c>
      <c r="O473" t="s">
        <v>67</v>
      </c>
      <c r="P473">
        <v>2018</v>
      </c>
      <c r="Q473">
        <v>0.17230000000000001</v>
      </c>
      <c r="R473" s="10"/>
      <c r="S473">
        <f>ROUND(ТабCЕС[[#This Row],[Зелений Тариф ЕЦ]]+ТабCЕС[[#This Row],[Зелений Тариф ЕЦ]]*ТабCЕС[[#This Row],[% надбавки]],4)</f>
        <v>0.17230000000000001</v>
      </c>
      <c r="T473" s="8"/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1.2E-2</v>
      </c>
      <c r="AO473">
        <v>8.0000000000000002E-3</v>
      </c>
      <c r="AP473">
        <v>6.0000000000000001E-3</v>
      </c>
      <c r="AQ473">
        <v>2E-3</v>
      </c>
      <c r="AR473">
        <v>0</v>
      </c>
      <c r="AS473">
        <v>0</v>
      </c>
      <c r="AT473">
        <v>3.0000000000000001E-3</v>
      </c>
      <c r="AU473">
        <v>7.0000000000000001E-3</v>
      </c>
      <c r="AV473">
        <v>0.01</v>
      </c>
      <c r="AW473">
        <v>1.0999999999999999E-2</v>
      </c>
      <c r="AX473">
        <v>1.2999999999999999E-2</v>
      </c>
      <c r="AY473">
        <v>0</v>
      </c>
      <c r="AZ473">
        <v>0</v>
      </c>
    </row>
    <row r="474" spans="2:52">
      <c r="C474" t="s">
        <v>58</v>
      </c>
      <c r="D474" t="s">
        <v>384</v>
      </c>
      <c r="F474" s="1" t="s">
        <v>1559</v>
      </c>
      <c r="G474" s="1" t="s">
        <v>384</v>
      </c>
      <c r="H474" t="s">
        <v>62</v>
      </c>
      <c r="K474" t="s">
        <v>1560</v>
      </c>
      <c r="L474" s="7">
        <v>0.36</v>
      </c>
      <c r="M474" s="8">
        <v>43396</v>
      </c>
      <c r="N474">
        <v>10</v>
      </c>
      <c r="O474" t="s">
        <v>71</v>
      </c>
      <c r="P474">
        <v>2018</v>
      </c>
      <c r="Q474">
        <v>0.16370000000000001</v>
      </c>
      <c r="R474" s="10"/>
      <c r="S474">
        <f>ROUND(ТабCЕС[[#This Row],[Зелений Тариф ЕЦ]]+ТабCЕС[[#This Row],[Зелений Тариф ЕЦ]]*ТабCЕС[[#This Row],[% надбавки]],4)</f>
        <v>0.16370000000000001</v>
      </c>
      <c r="T474" s="8"/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2E-3</v>
      </c>
      <c r="AS474">
        <v>4.0000000000000001E-3</v>
      </c>
      <c r="AT474">
        <v>1.7000000000000001E-2</v>
      </c>
      <c r="AU474">
        <v>2.3E-2</v>
      </c>
      <c r="AV474">
        <v>3.6999999999999998E-2</v>
      </c>
      <c r="AW474">
        <v>3.5000000000000003E-2</v>
      </c>
      <c r="AX474">
        <v>4.1000000000000002E-2</v>
      </c>
      <c r="AY474">
        <v>4.2999999999999997E-2</v>
      </c>
      <c r="AZ474">
        <v>3.7999999999999999E-2</v>
      </c>
    </row>
    <row r="475" spans="2:52">
      <c r="C475" t="s">
        <v>58</v>
      </c>
      <c r="D475" t="s">
        <v>384</v>
      </c>
      <c r="F475" s="1" t="s">
        <v>1561</v>
      </c>
      <c r="G475" s="1" t="s">
        <v>384</v>
      </c>
      <c r="H475" t="s">
        <v>69</v>
      </c>
      <c r="K475" t="s">
        <v>1562</v>
      </c>
      <c r="L475" s="7">
        <v>0.14599999999999999</v>
      </c>
      <c r="M475" s="8">
        <v>43596</v>
      </c>
      <c r="N475">
        <v>5</v>
      </c>
      <c r="O475" t="s">
        <v>57</v>
      </c>
      <c r="P475">
        <v>2019</v>
      </c>
      <c r="Q475">
        <v>0.16370000000000001</v>
      </c>
      <c r="R475" s="10"/>
      <c r="S475">
        <f>ROUND(ТабCЕС[[#This Row],[Зелений Тариф ЕЦ]]+ТабCЕС[[#This Row],[Зелений Тариф ЕЦ]]*ТабCЕС[[#This Row],[% надбавки]],4)</f>
        <v>0.16370000000000001</v>
      </c>
      <c r="T475" s="8"/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2.7E-2</v>
      </c>
      <c r="AY475">
        <v>2.5000000000000001E-2</v>
      </c>
      <c r="AZ475">
        <v>2.1000000000000001E-2</v>
      </c>
    </row>
    <row r="476" spans="2:52">
      <c r="C476" t="s">
        <v>58</v>
      </c>
      <c r="D476" t="s">
        <v>384</v>
      </c>
      <c r="F476" s="1" t="s">
        <v>1561</v>
      </c>
      <c r="G476" s="1" t="s">
        <v>384</v>
      </c>
      <c r="H476" t="s">
        <v>69</v>
      </c>
      <c r="K476" t="s">
        <v>1563</v>
      </c>
      <c r="L476" s="7">
        <v>1.41</v>
      </c>
      <c r="M476" s="8">
        <v>43697</v>
      </c>
      <c r="N476">
        <v>9</v>
      </c>
      <c r="O476" t="s">
        <v>60</v>
      </c>
      <c r="P476">
        <v>2019</v>
      </c>
      <c r="Q476">
        <v>0.16370000000000001</v>
      </c>
      <c r="R476" s="10"/>
      <c r="S476">
        <f>ROUND(ТабCЕС[[#This Row],[Зелений Тариф ЕЦ]]+ТабCЕС[[#This Row],[Зелений Тариф ЕЦ]]*ТабCЕС[[#This Row],[% надбавки]],4)</f>
        <v>0.16370000000000001</v>
      </c>
      <c r="T476" s="8"/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</row>
    <row r="477" spans="2:52">
      <c r="C477" t="s">
        <v>58</v>
      </c>
      <c r="D477" t="s">
        <v>384</v>
      </c>
      <c r="F477" s="1" t="s">
        <v>1564</v>
      </c>
      <c r="G477" s="1" t="s">
        <v>683</v>
      </c>
      <c r="H477" t="s">
        <v>62</v>
      </c>
      <c r="K477" t="s">
        <v>1565</v>
      </c>
      <c r="L477" s="7">
        <v>0.55700000000000005</v>
      </c>
      <c r="M477" s="8">
        <v>43616</v>
      </c>
      <c r="N477">
        <v>5</v>
      </c>
      <c r="O477" t="s">
        <v>57</v>
      </c>
      <c r="P477">
        <v>2019</v>
      </c>
      <c r="Q477">
        <v>0.16370000000000001</v>
      </c>
      <c r="R477" s="10"/>
      <c r="S477">
        <f>ROUND(ТабCЕС[[#This Row],[Зелений Тариф ЕЦ]]+ТабCЕС[[#This Row],[Зелений Тариф ЕЦ]]*ТабCЕС[[#This Row],[% надбавки]],4)</f>
        <v>0.16370000000000001</v>
      </c>
      <c r="T477" s="8"/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0.06</v>
      </c>
    </row>
    <row r="478" spans="2:52">
      <c r="C478" t="s">
        <v>58</v>
      </c>
      <c r="D478" t="s">
        <v>384</v>
      </c>
      <c r="F478" s="1" t="s">
        <v>1566</v>
      </c>
      <c r="G478" s="1" t="s">
        <v>384</v>
      </c>
      <c r="H478" t="s">
        <v>1465</v>
      </c>
      <c r="K478" t="s">
        <v>1567</v>
      </c>
      <c r="L478" s="7">
        <v>0.02</v>
      </c>
      <c r="M478" s="8">
        <v>42362</v>
      </c>
      <c r="N478">
        <v>12</v>
      </c>
      <c r="O478" t="s">
        <v>71</v>
      </c>
      <c r="P478">
        <v>2015</v>
      </c>
      <c r="Q478">
        <v>0.1804</v>
      </c>
      <c r="R478" s="10"/>
      <c r="S478">
        <f>ROUND(ТабCЕС[[#This Row],[Зелений Тариф ЕЦ]]+ТабCЕС[[#This Row],[Зелений Тариф ЕЦ]]*ТабCЕС[[#This Row],[% надбавки]],4)</f>
        <v>0.1804</v>
      </c>
      <c r="T478" s="8"/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</row>
    <row r="479" spans="2:52">
      <c r="C479" t="s">
        <v>58</v>
      </c>
      <c r="D479" t="s">
        <v>384</v>
      </c>
      <c r="F479" s="1" t="s">
        <v>1568</v>
      </c>
      <c r="G479" s="1" t="s">
        <v>384</v>
      </c>
      <c r="H479" t="s">
        <v>321</v>
      </c>
      <c r="K479" t="s">
        <v>1569</v>
      </c>
      <c r="L479" s="7">
        <v>0.09</v>
      </c>
      <c r="M479" s="8">
        <v>43340</v>
      </c>
      <c r="N479">
        <v>8</v>
      </c>
      <c r="O479" t="s">
        <v>60</v>
      </c>
      <c r="P479">
        <v>2018</v>
      </c>
      <c r="Q479">
        <v>0.16370000000000001</v>
      </c>
      <c r="R479" s="10"/>
      <c r="S479">
        <f>ROUND(ТабCЕС[[#This Row],[Зелений Тариф ЕЦ]]+ТабCЕС[[#This Row],[Зелений Тариф ЕЦ]]*ТабCЕС[[#This Row],[% надбавки]],4)</f>
        <v>0.16370000000000001</v>
      </c>
      <c r="T479" s="8"/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4.0000000000000001E-3</v>
      </c>
      <c r="AR479">
        <v>1E-3</v>
      </c>
      <c r="AS479">
        <v>1E-3</v>
      </c>
      <c r="AT479">
        <v>5.0000000000000001E-3</v>
      </c>
      <c r="AU479">
        <v>8.9999999999999993E-3</v>
      </c>
      <c r="AV479">
        <v>1.2999999999999999E-2</v>
      </c>
      <c r="AW479">
        <v>1.0999999999999999E-2</v>
      </c>
      <c r="AX479">
        <v>1.4999999999999999E-2</v>
      </c>
      <c r="AY479">
        <v>6.0000000000000001E-3</v>
      </c>
      <c r="AZ479">
        <v>1.2999999999999999E-2</v>
      </c>
    </row>
    <row r="480" spans="2:52">
      <c r="B480" t="s">
        <v>1570</v>
      </c>
      <c r="C480">
        <v>39284029</v>
      </c>
      <c r="D480" t="s">
        <v>384</v>
      </c>
      <c r="F480" s="1" t="s">
        <v>1571</v>
      </c>
      <c r="G480" s="1" t="s">
        <v>384</v>
      </c>
      <c r="H480" t="s">
        <v>69</v>
      </c>
      <c r="I480" t="s">
        <v>1167</v>
      </c>
      <c r="J480" t="s">
        <v>1572</v>
      </c>
      <c r="K480" t="s">
        <v>1573</v>
      </c>
      <c r="L480" s="7">
        <v>4.4999999999999998E-2</v>
      </c>
      <c r="M480" s="8">
        <v>42537</v>
      </c>
      <c r="N480">
        <v>6</v>
      </c>
      <c r="O480" t="s">
        <v>57</v>
      </c>
      <c r="P480">
        <v>2016</v>
      </c>
      <c r="Q480">
        <v>0.1804</v>
      </c>
      <c r="R480" s="10"/>
      <c r="S480">
        <f>ROUND(ТабCЕС[[#This Row],[Зелений Тариф ЕЦ]]+ТабCЕС[[#This Row],[Зелений Тариф ЕЦ]]*ТабCЕС[[#This Row],[% надбавки]],4)</f>
        <v>0.1804</v>
      </c>
      <c r="T480" s="8"/>
      <c r="U480">
        <v>2E-3</v>
      </c>
      <c r="V480">
        <v>3.0000000000000001E-3</v>
      </c>
      <c r="W480">
        <v>7.0000000000000001E-3</v>
      </c>
      <c r="X480">
        <v>5.9999999999999984E-3</v>
      </c>
      <c r="Y480">
        <v>4.0000000000000001E-3</v>
      </c>
      <c r="Z480">
        <v>8.0000000000000002E-3</v>
      </c>
      <c r="AA480">
        <v>6.9999999999999993E-3</v>
      </c>
      <c r="AB480">
        <v>6.9999999999999993E-3</v>
      </c>
      <c r="AC480">
        <v>6.0000000000000053E-3</v>
      </c>
      <c r="AD480">
        <v>2.9999999999999957E-3</v>
      </c>
      <c r="AE480">
        <v>2.0000000000000018E-3</v>
      </c>
      <c r="AF480">
        <v>1.0000000000000009E-3</v>
      </c>
      <c r="AG480">
        <v>2E-3</v>
      </c>
      <c r="AH480">
        <v>2E-3</v>
      </c>
      <c r="AI480">
        <v>3.0000000000000001E-3</v>
      </c>
      <c r="AJ480">
        <v>7.0000000000000001E-3</v>
      </c>
      <c r="AK480">
        <v>8.0000000000000002E-3</v>
      </c>
      <c r="AL480">
        <v>8.0000000000000002E-3</v>
      </c>
      <c r="AM480">
        <v>7.0000000000000001E-3</v>
      </c>
      <c r="AN480">
        <v>8.0000000000000002E-3</v>
      </c>
      <c r="AO480">
        <v>5.0000000000000001E-3</v>
      </c>
      <c r="AP480">
        <v>5.0000000000000001E-3</v>
      </c>
      <c r="AQ480">
        <v>2E-3</v>
      </c>
      <c r="AR480">
        <v>1E-3</v>
      </c>
      <c r="AS480">
        <v>1E-3</v>
      </c>
      <c r="AT480">
        <v>3.0000000000000001E-3</v>
      </c>
      <c r="AU480">
        <v>4.0000000000000001E-3</v>
      </c>
      <c r="AV480">
        <v>5.0000000000000001E-3</v>
      </c>
      <c r="AW480">
        <v>7.0000000000000001E-3</v>
      </c>
      <c r="AX480">
        <v>8.0000000000000002E-3</v>
      </c>
      <c r="AY480">
        <v>0</v>
      </c>
      <c r="AZ480">
        <v>2E-3</v>
      </c>
    </row>
    <row r="481" spans="2:52">
      <c r="C481" t="s">
        <v>58</v>
      </c>
      <c r="D481" t="s">
        <v>384</v>
      </c>
      <c r="F481" s="1" t="s">
        <v>1574</v>
      </c>
      <c r="G481" s="1" t="s">
        <v>1575</v>
      </c>
      <c r="H481" t="s">
        <v>321</v>
      </c>
      <c r="K481" t="s">
        <v>1576</v>
      </c>
      <c r="L481" s="7">
        <v>0.23599999999999999</v>
      </c>
      <c r="M481" s="8">
        <v>43616</v>
      </c>
      <c r="N481">
        <v>5</v>
      </c>
      <c r="O481" t="s">
        <v>57</v>
      </c>
      <c r="P481">
        <v>2019</v>
      </c>
      <c r="Q481">
        <v>0.16370000000000001</v>
      </c>
      <c r="R481" s="10"/>
      <c r="S481">
        <f>ROUND(ТабCЕС[[#This Row],[Зелений Тариф ЕЦ]]+ТабCЕС[[#This Row],[Зелений Тариф ЕЦ]]*ТабCЕС[[#This Row],[% надбавки]],4)</f>
        <v>0.16370000000000001</v>
      </c>
      <c r="T481" s="8"/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</row>
    <row r="482" spans="2:52">
      <c r="B482" t="s">
        <v>1577</v>
      </c>
      <c r="C482">
        <v>3756916</v>
      </c>
      <c r="D482" t="s">
        <v>384</v>
      </c>
      <c r="F482" s="1" t="s">
        <v>1080</v>
      </c>
      <c r="G482" s="1" t="s">
        <v>384</v>
      </c>
      <c r="H482" t="s">
        <v>136</v>
      </c>
      <c r="K482" t="s">
        <v>1578</v>
      </c>
      <c r="L482" s="7">
        <v>0.16</v>
      </c>
      <c r="M482" s="8">
        <v>42509</v>
      </c>
      <c r="N482">
        <v>5</v>
      </c>
      <c r="O482" t="s">
        <v>57</v>
      </c>
      <c r="P482">
        <v>2016</v>
      </c>
      <c r="Q482">
        <v>0.1804</v>
      </c>
      <c r="R482" s="10"/>
      <c r="S482">
        <f>ROUND(ТабCЕС[[#This Row],[Зелений Тариф ЕЦ]]+ТабCЕС[[#This Row],[Зелений Тариф ЕЦ]]*ТабCЕС[[#This Row],[% надбавки]],4)</f>
        <v>0.1804</v>
      </c>
      <c r="T482" s="8"/>
      <c r="U482">
        <v>4.0000000000000001E-3</v>
      </c>
      <c r="V482">
        <v>6.9999999999999993E-3</v>
      </c>
      <c r="W482">
        <v>1.4000000000000002E-2</v>
      </c>
      <c r="X482">
        <v>1.8999999999999996E-2</v>
      </c>
      <c r="Y482">
        <v>2.4000000000000007E-2</v>
      </c>
      <c r="Z482">
        <v>2.3999999999999994E-2</v>
      </c>
      <c r="AA482">
        <v>2.4000000000000007E-2</v>
      </c>
      <c r="AB482">
        <v>2.2000000000000006E-2</v>
      </c>
      <c r="AC482">
        <v>1.6999999999999987E-2</v>
      </c>
      <c r="AD482">
        <v>7.0000000000000062E-3</v>
      </c>
      <c r="AE482">
        <v>2.0000000000000018E-3</v>
      </c>
      <c r="AF482">
        <v>3.0000000000000027E-3</v>
      </c>
      <c r="AG482">
        <v>1E-3</v>
      </c>
      <c r="AH482">
        <v>4.0000000000000001E-3</v>
      </c>
      <c r="AI482">
        <v>7.0000000000000001E-3</v>
      </c>
      <c r="AJ482">
        <v>0.02</v>
      </c>
      <c r="AK482">
        <v>2.1999999999999999E-2</v>
      </c>
      <c r="AL482">
        <v>1.7000000000000001E-2</v>
      </c>
      <c r="AM482">
        <v>0.02</v>
      </c>
      <c r="AN482">
        <v>2.1999999999999999E-2</v>
      </c>
      <c r="AO482">
        <v>1.2999999999999999E-2</v>
      </c>
      <c r="AP482">
        <v>1.0999999999999999E-2</v>
      </c>
      <c r="AQ482">
        <v>4.0000000000000001E-3</v>
      </c>
      <c r="AR482">
        <v>0</v>
      </c>
      <c r="AS482">
        <v>1E-3</v>
      </c>
      <c r="AT482">
        <v>6.0000000000000001E-3</v>
      </c>
      <c r="AU482">
        <v>1.2999999999999999E-2</v>
      </c>
      <c r="AV482">
        <v>1.7999999999999999E-2</v>
      </c>
      <c r="AW482">
        <v>1.7000000000000001E-2</v>
      </c>
      <c r="AX482">
        <v>2.1000000000000001E-2</v>
      </c>
      <c r="AY482">
        <v>1.9E-2</v>
      </c>
      <c r="AZ482">
        <v>1.9E-2</v>
      </c>
    </row>
    <row r="483" spans="2:52">
      <c r="C483" t="s">
        <v>58</v>
      </c>
      <c r="D483" t="s">
        <v>384</v>
      </c>
      <c r="F483" s="1" t="s">
        <v>1579</v>
      </c>
      <c r="G483" s="1" t="s">
        <v>384</v>
      </c>
      <c r="H483" t="s">
        <v>1465</v>
      </c>
      <c r="K483" t="s">
        <v>1580</v>
      </c>
      <c r="L483" s="7">
        <v>0.105</v>
      </c>
      <c r="M483" s="8">
        <v>42753</v>
      </c>
      <c r="N483">
        <v>1</v>
      </c>
      <c r="O483" t="s">
        <v>67</v>
      </c>
      <c r="P483">
        <v>2017</v>
      </c>
      <c r="Q483">
        <v>0.17230000000000001</v>
      </c>
      <c r="R483" s="10"/>
      <c r="S483">
        <f>ROUND(ТабCЕС[[#This Row],[Зелений Тариф ЕЦ]]+ТабCЕС[[#This Row],[Зелений Тариф ЕЦ]]*ТабCЕС[[#This Row],[% надбавки]],4)</f>
        <v>0.17230000000000001</v>
      </c>
      <c r="T483" s="8"/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4.0000000000000001E-3</v>
      </c>
      <c r="AE483">
        <v>2E-3</v>
      </c>
      <c r="AF483">
        <v>1E-3</v>
      </c>
      <c r="AG483">
        <v>1E-3</v>
      </c>
      <c r="AH483">
        <v>1E-3</v>
      </c>
      <c r="AI483">
        <v>3.0000000000000001E-3</v>
      </c>
      <c r="AJ483">
        <v>1.2999999999999999E-2</v>
      </c>
      <c r="AK483">
        <v>1.7000000000000001E-2</v>
      </c>
      <c r="AL483">
        <v>1.6E-2</v>
      </c>
      <c r="AM483">
        <v>1.2999999999999999E-2</v>
      </c>
      <c r="AN483">
        <v>1.4999999999999999E-2</v>
      </c>
      <c r="AO483">
        <v>0.01</v>
      </c>
      <c r="AP483">
        <v>7.0000000000000001E-3</v>
      </c>
      <c r="AQ483">
        <v>2E-3</v>
      </c>
      <c r="AR483">
        <v>0</v>
      </c>
      <c r="AS483">
        <v>0</v>
      </c>
      <c r="AT483">
        <v>3.0000000000000001E-3</v>
      </c>
      <c r="AU483">
        <v>8.0000000000000002E-3</v>
      </c>
      <c r="AV483">
        <v>1.0999999999999999E-2</v>
      </c>
      <c r="AW483">
        <v>1.2999999999999999E-2</v>
      </c>
      <c r="AX483">
        <v>1.6E-2</v>
      </c>
      <c r="AY483">
        <v>0</v>
      </c>
      <c r="AZ483">
        <v>0</v>
      </c>
    </row>
    <row r="484" spans="2:52">
      <c r="C484" t="s">
        <v>58</v>
      </c>
      <c r="D484" t="s">
        <v>384</v>
      </c>
      <c r="F484" s="1" t="s">
        <v>1581</v>
      </c>
      <c r="G484" s="1" t="s">
        <v>384</v>
      </c>
      <c r="H484" t="s">
        <v>98</v>
      </c>
      <c r="K484" t="s">
        <v>1582</v>
      </c>
      <c r="L484" s="7">
        <v>0.189</v>
      </c>
      <c r="M484" s="8">
        <v>43641</v>
      </c>
      <c r="N484">
        <v>6</v>
      </c>
      <c r="O484" t="s">
        <v>57</v>
      </c>
      <c r="P484">
        <v>2019</v>
      </c>
      <c r="Q484">
        <v>0.16370000000000001</v>
      </c>
      <c r="R484" s="10"/>
      <c r="S484">
        <f>ROUND(ТабCЕС[[#This Row],[Зелений Тариф ЕЦ]]+ТабCЕС[[#This Row],[Зелений Тариф ЕЦ]]*ТабCЕС[[#This Row],[% надбавки]],4)</f>
        <v>0.16370000000000001</v>
      </c>
      <c r="T484" s="8"/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1.6E-2</v>
      </c>
    </row>
    <row r="485" spans="2:52">
      <c r="C485" t="s">
        <v>58</v>
      </c>
      <c r="D485" t="s">
        <v>384</v>
      </c>
      <c r="F485" s="1" t="s">
        <v>1583</v>
      </c>
      <c r="G485" s="1" t="s">
        <v>1584</v>
      </c>
      <c r="H485" t="s">
        <v>233</v>
      </c>
      <c r="K485" t="s">
        <v>1585</v>
      </c>
      <c r="L485" s="7">
        <v>1.1539999999999999</v>
      </c>
      <c r="M485" s="8">
        <v>43637</v>
      </c>
      <c r="N485">
        <v>6</v>
      </c>
      <c r="O485" t="s">
        <v>57</v>
      </c>
      <c r="P485">
        <v>2019</v>
      </c>
      <c r="Q485">
        <v>0.16370000000000001</v>
      </c>
      <c r="R485" s="10"/>
      <c r="S485">
        <f>ROUND(ТабCЕС[[#This Row],[Зелений Тариф ЕЦ]]+ТабCЕС[[#This Row],[Зелений Тариф ЕЦ]]*ТабCЕС[[#This Row],[% надбавки]],4)</f>
        <v>0.16370000000000001</v>
      </c>
      <c r="T485" s="8"/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3.3000000000000002E-2</v>
      </c>
      <c r="AZ485">
        <v>0.16500000000000001</v>
      </c>
    </row>
    <row r="486" spans="2:52">
      <c r="C486" t="s">
        <v>58</v>
      </c>
      <c r="D486" t="s">
        <v>384</v>
      </c>
      <c r="F486" s="1" t="s">
        <v>1583</v>
      </c>
      <c r="G486" s="1" t="s">
        <v>1586</v>
      </c>
      <c r="H486" t="s">
        <v>233</v>
      </c>
      <c r="K486" t="s">
        <v>1587</v>
      </c>
      <c r="L486" s="7">
        <v>0.09</v>
      </c>
      <c r="M486" s="8">
        <v>43637</v>
      </c>
      <c r="N486">
        <v>6</v>
      </c>
      <c r="O486" t="s">
        <v>57</v>
      </c>
      <c r="P486">
        <v>2019</v>
      </c>
      <c r="Q486">
        <v>0.16370000000000001</v>
      </c>
      <c r="R486" s="10"/>
      <c r="S486">
        <f>ROUND(ТабCЕС[[#This Row],[Зелений Тариф ЕЦ]]+ТабCЕС[[#This Row],[Зелений Тариф ЕЦ]]*ТабCЕС[[#This Row],[% надбавки]],4)</f>
        <v>0.16370000000000001</v>
      </c>
      <c r="T486" s="8"/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</row>
    <row r="487" spans="2:52">
      <c r="C487" t="s">
        <v>58</v>
      </c>
      <c r="D487" t="s">
        <v>384</v>
      </c>
      <c r="F487" s="1" t="s">
        <v>1588</v>
      </c>
      <c r="G487" s="1" t="s">
        <v>384</v>
      </c>
      <c r="H487" t="s">
        <v>1465</v>
      </c>
      <c r="K487" t="s">
        <v>1589</v>
      </c>
      <c r="L487" s="7">
        <v>0.19800000000000001</v>
      </c>
      <c r="M487" s="8">
        <v>43613</v>
      </c>
      <c r="N487">
        <v>5</v>
      </c>
      <c r="O487" t="s">
        <v>57</v>
      </c>
      <c r="P487">
        <v>2019</v>
      </c>
      <c r="Q487">
        <v>0.16370000000000001</v>
      </c>
      <c r="R487" s="10"/>
      <c r="S487">
        <f>ROUND(ТабCЕС[[#This Row],[Зелений Тариф ЕЦ]]+ТабCЕС[[#This Row],[Зелений Тариф ЕЦ]]*ТабCЕС[[#This Row],[% надбавки]],4)</f>
        <v>0.16370000000000001</v>
      </c>
      <c r="T487" s="8"/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</row>
    <row r="488" spans="2:52">
      <c r="C488" t="s">
        <v>58</v>
      </c>
      <c r="D488" t="s">
        <v>384</v>
      </c>
      <c r="F488" s="1" t="s">
        <v>1590</v>
      </c>
      <c r="G488" s="1" t="s">
        <v>384</v>
      </c>
      <c r="H488" t="s">
        <v>122</v>
      </c>
      <c r="K488" t="s">
        <v>1591</v>
      </c>
      <c r="L488" s="7">
        <v>7.0000000000000007E-2</v>
      </c>
      <c r="M488" s="8">
        <v>43144</v>
      </c>
      <c r="N488">
        <v>2</v>
      </c>
      <c r="O488" t="s">
        <v>67</v>
      </c>
      <c r="P488">
        <v>2018</v>
      </c>
      <c r="Q488">
        <v>0.16370000000000001</v>
      </c>
      <c r="R488" s="10"/>
      <c r="S488">
        <f>ROUND(ТабCЕС[[#This Row],[Зелений Тариф ЕЦ]]+ТабCЕС[[#This Row],[Зелений Тариф ЕЦ]]*ТабCЕС[[#This Row],[% надбавки]],4)</f>
        <v>0.16370000000000001</v>
      </c>
      <c r="T488" s="8"/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8.0000000000000002E-3</v>
      </c>
      <c r="AP488">
        <v>7.0000000000000001E-3</v>
      </c>
      <c r="AQ488">
        <v>3.0000000000000001E-3</v>
      </c>
      <c r="AR488">
        <v>0</v>
      </c>
      <c r="AS488">
        <v>0</v>
      </c>
      <c r="AT488">
        <v>3.0000000000000001E-3</v>
      </c>
      <c r="AU488">
        <v>7.0000000000000001E-3</v>
      </c>
      <c r="AV488">
        <v>1.0999999999999999E-2</v>
      </c>
      <c r="AW488">
        <v>1.2E-2</v>
      </c>
      <c r="AX488">
        <v>1.4999999999999999E-2</v>
      </c>
      <c r="AY488">
        <v>1.4999999999999999E-2</v>
      </c>
      <c r="AZ488">
        <v>1.2999999999999999E-2</v>
      </c>
    </row>
    <row r="489" spans="2:52">
      <c r="C489" t="s">
        <v>58</v>
      </c>
      <c r="D489" t="s">
        <v>384</v>
      </c>
      <c r="F489" s="1" t="s">
        <v>1592</v>
      </c>
      <c r="G489" s="1" t="s">
        <v>384</v>
      </c>
      <c r="H489" t="s">
        <v>69</v>
      </c>
      <c r="K489" t="s">
        <v>1593</v>
      </c>
      <c r="L489" s="7">
        <v>0.151</v>
      </c>
      <c r="M489" s="8">
        <v>43096</v>
      </c>
      <c r="N489">
        <v>12</v>
      </c>
      <c r="O489" t="s">
        <v>71</v>
      </c>
      <c r="P489">
        <v>2017</v>
      </c>
      <c r="Q489">
        <v>0.16370000000000001</v>
      </c>
      <c r="R489" s="10"/>
      <c r="S489">
        <f>ROUND(ТабCЕС[[#This Row],[Зелений Тариф ЕЦ]]+ТабCЕС[[#This Row],[Зелений Тариф ЕЦ]]*ТабCЕС[[#This Row],[% надбавки]],4)</f>
        <v>0.16370000000000001</v>
      </c>
      <c r="T489" s="8"/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4.0000000000000001E-3</v>
      </c>
      <c r="AI489">
        <v>8.9999999999999993E-3</v>
      </c>
      <c r="AJ489">
        <v>0.02</v>
      </c>
      <c r="AK489">
        <v>2.3E-2</v>
      </c>
      <c r="AL489">
        <v>2.4E-2</v>
      </c>
      <c r="AM489">
        <v>1.9E-2</v>
      </c>
      <c r="AN489">
        <v>2.1999999999999999E-2</v>
      </c>
      <c r="AO489">
        <v>1.2999999999999999E-2</v>
      </c>
      <c r="AP489">
        <v>1.2E-2</v>
      </c>
      <c r="AQ489">
        <v>5.0000000000000001E-3</v>
      </c>
      <c r="AR489">
        <v>1E-3</v>
      </c>
      <c r="AS489">
        <v>2E-3</v>
      </c>
      <c r="AT489">
        <v>6.0000000000000001E-3</v>
      </c>
      <c r="AU489">
        <v>1.2999999999999999E-2</v>
      </c>
      <c r="AV489">
        <v>1.7999999999999999E-2</v>
      </c>
      <c r="AW489">
        <v>2.1000000000000001E-2</v>
      </c>
      <c r="AX489">
        <v>2.1999999999999999E-2</v>
      </c>
      <c r="AY489">
        <v>2.1999999999999999E-2</v>
      </c>
      <c r="AZ489">
        <v>1.7999999999999999E-2</v>
      </c>
    </row>
    <row r="490" spans="2:52">
      <c r="C490" t="s">
        <v>58</v>
      </c>
      <c r="D490" t="s">
        <v>384</v>
      </c>
      <c r="F490" s="1" t="s">
        <v>1592</v>
      </c>
      <c r="G490" s="1" t="s">
        <v>384</v>
      </c>
      <c r="H490" t="s">
        <v>69</v>
      </c>
      <c r="K490" t="s">
        <v>1594</v>
      </c>
      <c r="L490" s="7">
        <v>7.6999999999999999E-2</v>
      </c>
      <c r="M490" s="8">
        <v>43567</v>
      </c>
      <c r="N490">
        <v>4</v>
      </c>
      <c r="O490" t="s">
        <v>57</v>
      </c>
      <c r="P490">
        <v>2019</v>
      </c>
      <c r="Q490">
        <v>0.16370000000000001</v>
      </c>
      <c r="R490" s="10"/>
      <c r="S490">
        <f>ROUND(ТабCЕС[[#This Row],[Зелений Тариф ЕЦ]]+ТабCЕС[[#This Row],[Зелений Тариф ЕЦ]]*ТабCЕС[[#This Row],[% надбавки]],4)</f>
        <v>0.16370000000000001</v>
      </c>
      <c r="T490" s="8"/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</row>
    <row r="491" spans="2:52">
      <c r="C491" t="s">
        <v>58</v>
      </c>
      <c r="D491" t="s">
        <v>384</v>
      </c>
      <c r="F491" s="1" t="s">
        <v>1595</v>
      </c>
      <c r="G491" s="1" t="s">
        <v>384</v>
      </c>
      <c r="H491" t="s">
        <v>141</v>
      </c>
      <c r="K491" t="s">
        <v>1596</v>
      </c>
      <c r="L491" s="7">
        <v>0.122</v>
      </c>
      <c r="M491" s="8">
        <v>43596</v>
      </c>
      <c r="N491">
        <v>5</v>
      </c>
      <c r="O491" t="s">
        <v>57</v>
      </c>
      <c r="P491">
        <v>2019</v>
      </c>
      <c r="Q491">
        <v>0.16370000000000001</v>
      </c>
      <c r="R491" s="10"/>
      <c r="S491">
        <f>ROUND(ТабCЕС[[#This Row],[Зелений Тариф ЕЦ]]+ТабCЕС[[#This Row],[Зелений Тариф ЕЦ]]*ТабCЕС[[#This Row],[% надбавки]],4)</f>
        <v>0.16370000000000001</v>
      </c>
      <c r="T491" s="8"/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0.02</v>
      </c>
      <c r="AY491">
        <v>0.02</v>
      </c>
      <c r="AZ491">
        <v>1.7999999999999999E-2</v>
      </c>
    </row>
    <row r="492" spans="2:52">
      <c r="C492" t="s">
        <v>58</v>
      </c>
      <c r="D492" t="s">
        <v>384</v>
      </c>
      <c r="F492" s="1" t="s">
        <v>1595</v>
      </c>
      <c r="G492" s="1" t="s">
        <v>384</v>
      </c>
      <c r="H492" t="s">
        <v>141</v>
      </c>
      <c r="K492" t="s">
        <v>1597</v>
      </c>
      <c r="L492" s="7">
        <v>0.29899999999999999</v>
      </c>
      <c r="M492" s="8">
        <v>43700</v>
      </c>
      <c r="N492">
        <v>8</v>
      </c>
      <c r="O492" t="s">
        <v>60</v>
      </c>
      <c r="P492">
        <v>2019</v>
      </c>
      <c r="Q492">
        <v>0.16370000000000001</v>
      </c>
      <c r="R492" s="10"/>
      <c r="S492">
        <f>ROUND(ТабCЕС[[#This Row],[Зелений Тариф ЕЦ]]+ТабCЕС[[#This Row],[Зелений Тариф ЕЦ]]*ТабCЕС[[#This Row],[% надбавки]],4)</f>
        <v>0.16370000000000001</v>
      </c>
      <c r="T492" s="8"/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</row>
    <row r="493" spans="2:52">
      <c r="B493" t="s">
        <v>1598</v>
      </c>
      <c r="C493">
        <v>40832163</v>
      </c>
      <c r="D493" t="s">
        <v>384</v>
      </c>
      <c r="F493" s="1" t="s">
        <v>1599</v>
      </c>
      <c r="G493" s="1" t="s">
        <v>384</v>
      </c>
      <c r="H493" t="s">
        <v>163</v>
      </c>
      <c r="K493" t="s">
        <v>1600</v>
      </c>
      <c r="L493" s="7">
        <v>0.104</v>
      </c>
      <c r="M493" s="8">
        <v>42733</v>
      </c>
      <c r="N493">
        <v>12</v>
      </c>
      <c r="O493" t="s">
        <v>71</v>
      </c>
      <c r="P493">
        <v>2016</v>
      </c>
      <c r="Q493">
        <v>0.17230000000000001</v>
      </c>
      <c r="R493" s="10"/>
      <c r="S493">
        <f>ROUND(ТабCЕС[[#This Row],[Зелений Тариф ЕЦ]]+ТабCЕС[[#This Row],[Зелений Тариф ЕЦ]]*ТабCЕС[[#This Row],[% надбавки]],4)</f>
        <v>0.17230000000000001</v>
      </c>
      <c r="T493" s="8"/>
      <c r="U493">
        <v>0</v>
      </c>
      <c r="V493">
        <v>0</v>
      </c>
      <c r="W493">
        <v>0</v>
      </c>
      <c r="X493">
        <v>0</v>
      </c>
      <c r="Y493">
        <v>0</v>
      </c>
      <c r="Z493">
        <v>1.7000000000000001E-2</v>
      </c>
      <c r="AA493">
        <v>1.7000000000000001E-2</v>
      </c>
      <c r="AB493">
        <v>1.3999999999999999E-2</v>
      </c>
      <c r="AC493">
        <v>1.0000000000000002E-2</v>
      </c>
      <c r="AD493">
        <v>4.9999999999999975E-3</v>
      </c>
      <c r="AE493">
        <v>2.0000000000000018E-3</v>
      </c>
      <c r="AF493">
        <v>1.0000000000000009E-3</v>
      </c>
      <c r="AG493">
        <v>1E-3</v>
      </c>
      <c r="AH493">
        <v>4.0000000000000001E-3</v>
      </c>
      <c r="AI493">
        <v>4.0000000000000001E-3</v>
      </c>
      <c r="AJ493">
        <v>1.4E-2</v>
      </c>
      <c r="AK493">
        <v>1.7000000000000001E-2</v>
      </c>
      <c r="AL493">
        <v>1.7000000000000001E-2</v>
      </c>
      <c r="AM493">
        <v>1.4999999999999999E-2</v>
      </c>
      <c r="AN493">
        <v>1.6E-2</v>
      </c>
      <c r="AO493">
        <v>8.9999999999999993E-3</v>
      </c>
      <c r="AP493">
        <v>7.0000000000000001E-3</v>
      </c>
      <c r="AQ493">
        <v>2E-3</v>
      </c>
      <c r="AR493">
        <v>0</v>
      </c>
      <c r="AS493">
        <v>1E-3</v>
      </c>
      <c r="AT493">
        <v>8.0000000000000002E-3</v>
      </c>
      <c r="AU493">
        <v>1.6E-2</v>
      </c>
      <c r="AV493">
        <v>2.5999999999999999E-2</v>
      </c>
      <c r="AW493">
        <v>3.3000000000000002E-2</v>
      </c>
      <c r="AX493">
        <v>4.2999999999999997E-2</v>
      </c>
      <c r="AY493">
        <v>0.04</v>
      </c>
      <c r="AZ493">
        <v>1.4E-2</v>
      </c>
    </row>
    <row r="494" spans="2:52">
      <c r="B494" t="s">
        <v>1601</v>
      </c>
      <c r="C494">
        <v>40832163</v>
      </c>
      <c r="D494" t="s">
        <v>384</v>
      </c>
      <c r="F494" s="1" t="s">
        <v>1599</v>
      </c>
      <c r="G494" s="1" t="s">
        <v>384</v>
      </c>
      <c r="H494" t="s">
        <v>163</v>
      </c>
      <c r="K494" t="s">
        <v>1602</v>
      </c>
      <c r="L494" s="7">
        <v>0.16700000000000001</v>
      </c>
      <c r="M494" s="8">
        <v>43396</v>
      </c>
      <c r="N494">
        <v>10</v>
      </c>
      <c r="O494" t="s">
        <v>71</v>
      </c>
      <c r="P494">
        <v>2018</v>
      </c>
      <c r="Q494">
        <v>0.16370000000000001</v>
      </c>
      <c r="R494" s="10"/>
      <c r="S494">
        <f>ROUND(ТабCЕС[[#This Row],[Зелений Тариф ЕЦ]]+ТабCЕС[[#This Row],[Зелений Тариф ЕЦ]]*ТабCЕС[[#This Row],[% надбавки]],4)</f>
        <v>0.16370000000000001</v>
      </c>
      <c r="T494" s="8"/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2.1999999999999999E-2</v>
      </c>
    </row>
    <row r="495" spans="2:52">
      <c r="C495" t="s">
        <v>58</v>
      </c>
      <c r="D495" t="s">
        <v>384</v>
      </c>
      <c r="F495" s="1" t="s">
        <v>1603</v>
      </c>
      <c r="G495" s="1" t="s">
        <v>1604</v>
      </c>
      <c r="H495" t="s">
        <v>136</v>
      </c>
      <c r="K495" t="s">
        <v>1605</v>
      </c>
      <c r="L495" s="7">
        <v>0.28399999999999997</v>
      </c>
      <c r="M495" s="8">
        <v>43182</v>
      </c>
      <c r="N495">
        <v>3</v>
      </c>
      <c r="O495" t="s">
        <v>67</v>
      </c>
      <c r="P495">
        <v>2018</v>
      </c>
      <c r="Q495">
        <v>0.16370000000000001</v>
      </c>
      <c r="R495" s="10"/>
      <c r="S495">
        <f>ROUND(ТабCЕС[[#This Row],[Зелений Тариф ЕЦ]]+ТабCЕС[[#This Row],[Зелений Тариф ЕЦ]]*ТабCЕС[[#This Row],[% надбавки]],4)</f>
        <v>0.16370000000000001</v>
      </c>
      <c r="T495" s="8"/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3.7999999999999999E-2</v>
      </c>
      <c r="AO495">
        <v>2.3E-2</v>
      </c>
      <c r="AP495">
        <v>0.02</v>
      </c>
      <c r="AQ495">
        <v>4.0000000000000001E-3</v>
      </c>
      <c r="AR495">
        <v>0</v>
      </c>
      <c r="AS495">
        <v>0</v>
      </c>
      <c r="AT495">
        <v>8.0000000000000002E-3</v>
      </c>
      <c r="AU495">
        <v>2.3E-2</v>
      </c>
      <c r="AV495">
        <v>2.7E-2</v>
      </c>
      <c r="AW495">
        <v>3.4000000000000002E-2</v>
      </c>
      <c r="AX495">
        <v>4.3999999999999997E-2</v>
      </c>
      <c r="AY495">
        <v>4.2000000000000003E-2</v>
      </c>
      <c r="AZ495">
        <v>3.9E-2</v>
      </c>
    </row>
    <row r="496" spans="2:52">
      <c r="C496" t="s">
        <v>58</v>
      </c>
      <c r="D496" t="s">
        <v>384</v>
      </c>
      <c r="F496" s="1" t="s">
        <v>1606</v>
      </c>
      <c r="G496" s="1" t="s">
        <v>384</v>
      </c>
      <c r="H496" t="s">
        <v>122</v>
      </c>
      <c r="K496" t="s">
        <v>1607</v>
      </c>
      <c r="L496" s="7">
        <v>0.215</v>
      </c>
      <c r="M496" s="8">
        <v>43130</v>
      </c>
      <c r="N496">
        <v>1</v>
      </c>
      <c r="O496" t="s">
        <v>67</v>
      </c>
      <c r="P496">
        <v>2018</v>
      </c>
      <c r="Q496">
        <v>0.16370000000000001</v>
      </c>
      <c r="R496" s="10"/>
      <c r="S496">
        <f>ROUND(ТабCЕС[[#This Row],[Зелений Тариф ЕЦ]]+ТабCЕС[[#This Row],[Зелений Тариф ЕЦ]]*ТабCЕС[[#This Row],[% надбавки]],4)</f>
        <v>0.16370000000000001</v>
      </c>
      <c r="T496" s="8"/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1E-3</v>
      </c>
      <c r="AS496">
        <v>0</v>
      </c>
      <c r="AT496">
        <v>8.9999999999999993E-3</v>
      </c>
      <c r="AU496">
        <v>2.1999999999999999E-2</v>
      </c>
      <c r="AV496">
        <v>3.2000000000000001E-2</v>
      </c>
      <c r="AW496">
        <v>3.5000000000000003E-2</v>
      </c>
      <c r="AX496">
        <v>4.1000000000000002E-2</v>
      </c>
      <c r="AY496">
        <v>0.04</v>
      </c>
      <c r="AZ496">
        <v>3.5000000000000003E-2</v>
      </c>
    </row>
    <row r="497" spans="3:52">
      <c r="C497" t="s">
        <v>58</v>
      </c>
      <c r="D497" t="s">
        <v>384</v>
      </c>
      <c r="F497" s="1" t="s">
        <v>1608</v>
      </c>
      <c r="G497" s="1" t="s">
        <v>384</v>
      </c>
      <c r="H497" t="s">
        <v>263</v>
      </c>
      <c r="K497" t="s">
        <v>1609</v>
      </c>
      <c r="L497" s="7">
        <v>0.12</v>
      </c>
      <c r="M497" s="8">
        <v>42831</v>
      </c>
      <c r="N497">
        <v>4</v>
      </c>
      <c r="O497" t="s">
        <v>57</v>
      </c>
      <c r="P497">
        <v>2017</v>
      </c>
      <c r="Q497">
        <v>0.17230000000000001</v>
      </c>
      <c r="R497" s="10"/>
      <c r="S497">
        <f>ROUND(ТабCЕС[[#This Row],[Зелений Тариф ЕЦ]]+ТабCЕС[[#This Row],[Зелений Тариф ЕЦ]]*ТабCЕС[[#This Row],[% надбавки]],4)</f>
        <v>0.17230000000000001</v>
      </c>
      <c r="T497" s="8"/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1.2E-2</v>
      </c>
      <c r="AD497">
        <v>5.9999999999999984E-3</v>
      </c>
      <c r="AE497">
        <v>2.0000000000000018E-3</v>
      </c>
      <c r="AF497">
        <v>1.0000000000000009E-3</v>
      </c>
      <c r="AG497">
        <v>1E-3</v>
      </c>
      <c r="AH497">
        <v>5.0000000000000001E-3</v>
      </c>
      <c r="AI497">
        <v>4.0000000000000001E-3</v>
      </c>
      <c r="AJ497">
        <v>1.6E-2</v>
      </c>
      <c r="AK497">
        <v>0.02</v>
      </c>
      <c r="AL497">
        <v>1.7999999999999999E-2</v>
      </c>
      <c r="AM497">
        <v>1.7999999999999999E-2</v>
      </c>
      <c r="AN497">
        <v>1.9E-2</v>
      </c>
      <c r="AO497">
        <v>1.0999999999999999E-2</v>
      </c>
      <c r="AP497">
        <v>8.0000000000000002E-3</v>
      </c>
      <c r="AQ497">
        <v>3.0000000000000001E-3</v>
      </c>
      <c r="AR497">
        <v>0</v>
      </c>
      <c r="AS497">
        <v>0</v>
      </c>
      <c r="AT497">
        <v>3.0000000000000001E-3</v>
      </c>
      <c r="AU497">
        <v>8.9999999999999993E-3</v>
      </c>
      <c r="AV497">
        <v>1.4999999999999999E-2</v>
      </c>
      <c r="AW497">
        <v>1.7000000000000001E-2</v>
      </c>
      <c r="AX497">
        <v>0.02</v>
      </c>
      <c r="AY497">
        <v>1.0999999999999999E-2</v>
      </c>
      <c r="AZ497">
        <v>1.4999999999999999E-2</v>
      </c>
    </row>
    <row r="498" spans="3:52">
      <c r="C498" t="s">
        <v>58</v>
      </c>
      <c r="D498" t="s">
        <v>384</v>
      </c>
      <c r="F498" s="1" t="s">
        <v>1169</v>
      </c>
      <c r="G498" s="1" t="s">
        <v>1610</v>
      </c>
      <c r="H498" t="s">
        <v>198</v>
      </c>
      <c r="K498" t="s">
        <v>1611</v>
      </c>
      <c r="L498" s="7">
        <v>0.26300000000000001</v>
      </c>
      <c r="M498" s="8">
        <v>43130</v>
      </c>
      <c r="N498">
        <v>1</v>
      </c>
      <c r="O498" t="s">
        <v>67</v>
      </c>
      <c r="P498">
        <v>2018</v>
      </c>
      <c r="Q498">
        <v>0.16370000000000001</v>
      </c>
      <c r="R498" s="10"/>
      <c r="S498">
        <f>ROUND(ТабCЕС[[#This Row],[Зелений Тариф ЕЦ]]+ТабCЕС[[#This Row],[Зелений Тариф ЕЦ]]*ТабCЕС[[#This Row],[% надбавки]],4)</f>
        <v>0.16370000000000001</v>
      </c>
      <c r="T498" s="8"/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8.9999999999999993E-3</v>
      </c>
      <c r="AI498">
        <v>1.7000000000000001E-2</v>
      </c>
      <c r="AJ498">
        <v>3.6999999999999998E-2</v>
      </c>
      <c r="AK498">
        <v>4.3999999999999997E-2</v>
      </c>
      <c r="AL498">
        <v>0.04</v>
      </c>
      <c r="AM498">
        <v>3.5999999999999997E-2</v>
      </c>
      <c r="AN498">
        <v>4.2000000000000003E-2</v>
      </c>
      <c r="AO498">
        <v>4.9000000000000002E-2</v>
      </c>
      <c r="AP498">
        <v>4.2000000000000003E-2</v>
      </c>
      <c r="AQ498">
        <v>1.7999999999999999E-2</v>
      </c>
      <c r="AR498">
        <v>2E-3</v>
      </c>
      <c r="AS498">
        <v>0</v>
      </c>
      <c r="AT498">
        <v>1.6E-2</v>
      </c>
      <c r="AU498">
        <v>3.2000000000000001E-2</v>
      </c>
      <c r="AV498">
        <v>4.8000000000000001E-2</v>
      </c>
      <c r="AW498">
        <v>0.05</v>
      </c>
      <c r="AX498">
        <v>6.4000000000000001E-2</v>
      </c>
      <c r="AY498">
        <v>5.8999999999999997E-2</v>
      </c>
      <c r="AZ498">
        <v>5.7000000000000002E-2</v>
      </c>
    </row>
    <row r="499" spans="3:52">
      <c r="C499" t="s">
        <v>58</v>
      </c>
      <c r="D499" t="s">
        <v>384</v>
      </c>
      <c r="F499" s="1" t="s">
        <v>1169</v>
      </c>
      <c r="G499" s="1" t="s">
        <v>384</v>
      </c>
      <c r="H499" t="s">
        <v>198</v>
      </c>
      <c r="K499" t="s">
        <v>1612</v>
      </c>
      <c r="L499" s="7">
        <v>5.8999999999999997E-2</v>
      </c>
      <c r="M499" s="8">
        <v>43333</v>
      </c>
      <c r="N499">
        <v>8</v>
      </c>
      <c r="O499" t="s">
        <v>60</v>
      </c>
      <c r="P499">
        <v>2018</v>
      </c>
      <c r="Q499">
        <v>0.16370000000000001</v>
      </c>
      <c r="R499" s="10"/>
      <c r="S499">
        <f>ROUND(ТабCЕС[[#This Row],[Зелений Тариф ЕЦ]]+ТабCЕС[[#This Row],[Зелений Тариф ЕЦ]]*ТабCЕС[[#This Row],[% надбавки]],4)</f>
        <v>0.16370000000000001</v>
      </c>
      <c r="T499" s="8"/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</row>
    <row r="500" spans="3:52">
      <c r="C500" t="s">
        <v>58</v>
      </c>
      <c r="D500" t="s">
        <v>384</v>
      </c>
      <c r="F500" s="1" t="s">
        <v>1169</v>
      </c>
      <c r="G500" s="1" t="s">
        <v>384</v>
      </c>
      <c r="H500" t="s">
        <v>198</v>
      </c>
      <c r="K500" t="s">
        <v>1613</v>
      </c>
      <c r="L500" s="7">
        <v>7.0999999999999994E-2</v>
      </c>
      <c r="M500" s="8">
        <v>43340</v>
      </c>
      <c r="N500">
        <v>8</v>
      </c>
      <c r="O500" t="s">
        <v>60</v>
      </c>
      <c r="P500">
        <v>2018</v>
      </c>
      <c r="Q500">
        <v>0.16370000000000001</v>
      </c>
      <c r="R500" s="10"/>
      <c r="S500">
        <f>ROUND(ТабCЕС[[#This Row],[Зелений Тариф ЕЦ]]+ТабCЕС[[#This Row],[Зелений Тариф ЕЦ]]*ТабCЕС[[#This Row],[% надбавки]],4)</f>
        <v>0.16370000000000001</v>
      </c>
      <c r="T500" s="8"/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</row>
    <row r="501" spans="3:52">
      <c r="C501" t="s">
        <v>58</v>
      </c>
      <c r="D501" t="s">
        <v>384</v>
      </c>
      <c r="F501" s="1" t="s">
        <v>1614</v>
      </c>
      <c r="G501" s="1" t="s">
        <v>1615</v>
      </c>
      <c r="H501" t="s">
        <v>82</v>
      </c>
      <c r="K501" t="s">
        <v>1616</v>
      </c>
      <c r="L501" s="7">
        <v>1.0109999999999999</v>
      </c>
      <c r="M501" s="8">
        <v>43637</v>
      </c>
      <c r="N501">
        <v>6</v>
      </c>
      <c r="O501" t="s">
        <v>57</v>
      </c>
      <c r="P501">
        <v>2019</v>
      </c>
      <c r="Q501">
        <v>0.16370000000000001</v>
      </c>
      <c r="R501" s="10"/>
      <c r="S501">
        <f>ROUND(ТабCЕС[[#This Row],[Зелений Тариф ЕЦ]]+ТабCЕС[[#This Row],[Зелений Тариф ЕЦ]]*ТабCЕС[[#This Row],[% надбавки]],4)</f>
        <v>0.16370000000000001</v>
      </c>
      <c r="T501" s="8"/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0.14899999999999999</v>
      </c>
    </row>
    <row r="502" spans="3:52">
      <c r="C502" t="s">
        <v>58</v>
      </c>
      <c r="D502" t="s">
        <v>384</v>
      </c>
      <c r="F502" s="1" t="s">
        <v>1180</v>
      </c>
      <c r="G502" s="1" t="s">
        <v>1617</v>
      </c>
      <c r="H502" t="s">
        <v>98</v>
      </c>
      <c r="K502" t="s">
        <v>1618</v>
      </c>
      <c r="L502" s="7">
        <v>1.1140000000000001</v>
      </c>
      <c r="M502" s="8">
        <v>42719</v>
      </c>
      <c r="N502">
        <v>12</v>
      </c>
      <c r="O502" t="s">
        <v>71</v>
      </c>
      <c r="P502">
        <v>2016</v>
      </c>
      <c r="Q502">
        <v>0.17230000000000001</v>
      </c>
      <c r="R502" s="10"/>
      <c r="S502">
        <f>ROUND(ТабCЕС[[#This Row],[Зелений Тариф ЕЦ]]+ТабCЕС[[#This Row],[Зелений Тариф ЕЦ]]*ТабCЕС[[#This Row],[% надбавки]],4)</f>
        <v>0.17230000000000001</v>
      </c>
      <c r="T502" s="8"/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8.0000000000000002E-3</v>
      </c>
      <c r="AG502">
        <v>0.02</v>
      </c>
      <c r="AH502">
        <v>2E-3</v>
      </c>
      <c r="AI502">
        <v>3.5999999999999997E-2</v>
      </c>
      <c r="AJ502">
        <v>0.11700000000000001</v>
      </c>
      <c r="AK502">
        <v>0.13500000000000001</v>
      </c>
      <c r="AL502">
        <v>0.106</v>
      </c>
      <c r="AM502">
        <v>0.108</v>
      </c>
      <c r="AN502">
        <v>0.122</v>
      </c>
      <c r="AO502">
        <v>9.0999999999999998E-2</v>
      </c>
      <c r="AP502">
        <v>6.9000000000000006E-2</v>
      </c>
      <c r="AQ502">
        <v>2.5000000000000001E-2</v>
      </c>
      <c r="AR502">
        <v>8.9999999999999993E-3</v>
      </c>
      <c r="AS502">
        <v>8.9999999999999993E-3</v>
      </c>
      <c r="AT502">
        <v>4.1000000000000002E-2</v>
      </c>
      <c r="AU502">
        <v>8.2000000000000003E-2</v>
      </c>
      <c r="AV502">
        <v>9.5000000000000001E-2</v>
      </c>
      <c r="AW502">
        <v>7.0999999999999994E-2</v>
      </c>
      <c r="AX502">
        <v>0.13300000000000001</v>
      </c>
      <c r="AY502">
        <v>0.13100000000000001</v>
      </c>
      <c r="AZ502">
        <v>0.13200000000000001</v>
      </c>
    </row>
    <row r="503" spans="3:52">
      <c r="C503" t="s">
        <v>58</v>
      </c>
      <c r="D503" t="s">
        <v>384</v>
      </c>
      <c r="F503" s="1" t="s">
        <v>1619</v>
      </c>
      <c r="G503" s="1" t="s">
        <v>384</v>
      </c>
      <c r="H503" t="s">
        <v>65</v>
      </c>
      <c r="K503" t="s">
        <v>1620</v>
      </c>
      <c r="L503" s="7">
        <v>4.1500000000000002E-2</v>
      </c>
      <c r="M503" s="8">
        <v>42922</v>
      </c>
      <c r="N503">
        <v>7</v>
      </c>
      <c r="O503" t="s">
        <v>60</v>
      </c>
      <c r="P503">
        <v>2017</v>
      </c>
      <c r="Q503">
        <v>0.16370000000000001</v>
      </c>
      <c r="R503" s="10"/>
      <c r="S503">
        <f>ROUND(ТабCЕС[[#This Row],[Зелений Тариф ЕЦ]]+ТабCЕС[[#This Row],[Зелений Тариф ЕЦ]]*ТабCЕС[[#This Row],[% надбавки]],4)</f>
        <v>0.16370000000000001</v>
      </c>
      <c r="T503" s="8"/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3.7999999999999999E-2</v>
      </c>
      <c r="AD503">
        <v>5.9999999999999984E-3</v>
      </c>
      <c r="AE503">
        <v>2.0000000000000018E-3</v>
      </c>
      <c r="AF503">
        <v>2.0000000000000018E-3</v>
      </c>
      <c r="AG503">
        <v>2E-3</v>
      </c>
      <c r="AH503">
        <v>2E-3</v>
      </c>
      <c r="AI503">
        <v>4.0000000000000001E-3</v>
      </c>
      <c r="AJ503">
        <v>1.0999999999999999E-2</v>
      </c>
      <c r="AK503">
        <v>1.2E-2</v>
      </c>
      <c r="AL503">
        <v>0.01</v>
      </c>
      <c r="AM503">
        <v>1.0999999999999999E-2</v>
      </c>
      <c r="AN503">
        <v>1.0999999999999999E-2</v>
      </c>
      <c r="AO503">
        <v>8.9999999999999993E-3</v>
      </c>
      <c r="AP503">
        <v>6.0000000000000001E-3</v>
      </c>
      <c r="AQ503">
        <v>2E-3</v>
      </c>
      <c r="AR503">
        <v>1E-3</v>
      </c>
      <c r="AS503">
        <v>1E-3</v>
      </c>
      <c r="AT503">
        <v>4.0000000000000001E-3</v>
      </c>
      <c r="AU503">
        <v>7.0000000000000001E-3</v>
      </c>
      <c r="AV503">
        <v>8.9999999999999993E-3</v>
      </c>
      <c r="AW503">
        <v>8.9999999999999993E-3</v>
      </c>
      <c r="AX503">
        <v>1.0999999999999999E-2</v>
      </c>
      <c r="AY503">
        <v>7.0000000000000001E-3</v>
      </c>
      <c r="AZ503">
        <v>1.0999999999999999E-2</v>
      </c>
    </row>
    <row r="504" spans="3:52">
      <c r="C504" t="s">
        <v>58</v>
      </c>
      <c r="D504" t="s">
        <v>384</v>
      </c>
      <c r="F504" s="1" t="s">
        <v>1619</v>
      </c>
      <c r="G504" s="1" t="s">
        <v>384</v>
      </c>
      <c r="H504" t="s">
        <v>65</v>
      </c>
      <c r="K504" t="s">
        <v>1621</v>
      </c>
      <c r="L504" s="7">
        <v>4.1500000000000002E-2</v>
      </c>
      <c r="M504" s="8">
        <v>42922</v>
      </c>
      <c r="N504">
        <v>7</v>
      </c>
      <c r="O504" t="s">
        <v>60</v>
      </c>
      <c r="P504">
        <v>2017</v>
      </c>
      <c r="Q504">
        <v>0.16370000000000001</v>
      </c>
      <c r="R504" s="10"/>
      <c r="S504">
        <f>ROUND(ТабCЕС[[#This Row],[Зелений Тариф ЕЦ]]+ТабCЕС[[#This Row],[Зелений Тариф ЕЦ]]*ТабCЕС[[#This Row],[% надбавки]],4)</f>
        <v>0.16370000000000001</v>
      </c>
      <c r="T504" s="8"/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1.504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</row>
    <row r="505" spans="3:52">
      <c r="C505" t="s">
        <v>58</v>
      </c>
      <c r="D505" t="s">
        <v>384</v>
      </c>
      <c r="F505" s="1" t="s">
        <v>1622</v>
      </c>
      <c r="G505" s="1" t="s">
        <v>384</v>
      </c>
      <c r="H505" t="s">
        <v>198</v>
      </c>
      <c r="K505" t="s">
        <v>1437</v>
      </c>
      <c r="L505" s="7">
        <v>2.1999999999999999E-2</v>
      </c>
      <c r="M505" s="8">
        <v>42418</v>
      </c>
      <c r="N505">
        <v>2</v>
      </c>
      <c r="O505" t="s">
        <v>67</v>
      </c>
      <c r="P505">
        <v>2016</v>
      </c>
      <c r="Q505">
        <v>0.1804</v>
      </c>
      <c r="R505" s="10"/>
      <c r="S505">
        <f>ROUND(ТабCЕС[[#This Row],[Зелений Тариф ЕЦ]]+ТабCЕС[[#This Row],[Зелений Тариф ЕЦ]]*ТабCЕС[[#This Row],[% надбавки]],4)</f>
        <v>0.1804</v>
      </c>
      <c r="T505" s="8"/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</row>
    <row r="506" spans="3:52">
      <c r="C506" t="s">
        <v>58</v>
      </c>
      <c r="D506" t="s">
        <v>384</v>
      </c>
      <c r="F506" s="1" t="s">
        <v>1217</v>
      </c>
      <c r="G506" s="1" t="s">
        <v>1623</v>
      </c>
      <c r="H506" t="s">
        <v>107</v>
      </c>
      <c r="K506" t="s">
        <v>1624</v>
      </c>
      <c r="L506" s="7">
        <v>0.499</v>
      </c>
      <c r="M506" s="8">
        <v>42712</v>
      </c>
      <c r="N506">
        <v>12</v>
      </c>
      <c r="O506" t="s">
        <v>71</v>
      </c>
      <c r="P506">
        <v>2016</v>
      </c>
      <c r="Q506">
        <v>0.17230000000000001</v>
      </c>
      <c r="R506" s="10"/>
      <c r="S506">
        <f>ROUND(ТабCЕС[[#This Row],[Зелений Тариф ЕЦ]]+ТабCЕС[[#This Row],[Зелений Тариф ЕЦ]]*ТабCЕС[[#This Row],[% надбавки]],4)</f>
        <v>0.17230000000000001</v>
      </c>
      <c r="T506" s="8"/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6.4000000000000001E-2</v>
      </c>
      <c r="AC506">
        <v>4.9000000000000002E-2</v>
      </c>
      <c r="AD506">
        <v>1.6E-2</v>
      </c>
      <c r="AE506">
        <v>7.0000000000000062E-3</v>
      </c>
      <c r="AF506">
        <v>3.0000000000000027E-3</v>
      </c>
      <c r="AG506">
        <v>2E-3</v>
      </c>
      <c r="AH506">
        <v>1.2999999999999999E-2</v>
      </c>
      <c r="AI506">
        <v>2.5999999999999999E-2</v>
      </c>
      <c r="AJ506">
        <v>6.6000000000000003E-2</v>
      </c>
      <c r="AK506">
        <v>7.6999999999999999E-2</v>
      </c>
      <c r="AL506">
        <v>7.0000000000000007E-2</v>
      </c>
      <c r="AM506">
        <v>6.4000000000000001E-2</v>
      </c>
      <c r="AN506">
        <v>7.9000000000000001E-2</v>
      </c>
      <c r="AO506">
        <v>5.0999999999999997E-2</v>
      </c>
      <c r="AP506">
        <v>3.9E-2</v>
      </c>
      <c r="AQ506">
        <v>8.9999999999999993E-3</v>
      </c>
      <c r="AR506">
        <v>0</v>
      </c>
      <c r="AS506">
        <v>1E-3</v>
      </c>
      <c r="AT506">
        <v>1.7999999999999999E-2</v>
      </c>
      <c r="AU506">
        <v>4.4999999999999998E-2</v>
      </c>
      <c r="AV506">
        <v>5.7000000000000002E-2</v>
      </c>
      <c r="AW506">
        <v>6.8000000000000005E-2</v>
      </c>
      <c r="AX506">
        <v>0.08</v>
      </c>
      <c r="AY506">
        <v>7.0999999999999994E-2</v>
      </c>
      <c r="AZ506">
        <v>6.0999999999999999E-2</v>
      </c>
    </row>
    <row r="507" spans="3:52">
      <c r="C507" t="s">
        <v>58</v>
      </c>
      <c r="D507" t="s">
        <v>384</v>
      </c>
      <c r="F507" s="1" t="s">
        <v>1625</v>
      </c>
      <c r="G507" s="1" t="s">
        <v>1626</v>
      </c>
      <c r="H507" t="s">
        <v>107</v>
      </c>
      <c r="K507" t="s">
        <v>1627</v>
      </c>
      <c r="L507" s="7">
        <v>1.054</v>
      </c>
      <c r="M507" s="8">
        <v>43613</v>
      </c>
      <c r="N507">
        <v>5</v>
      </c>
      <c r="O507" t="s">
        <v>57</v>
      </c>
      <c r="P507">
        <v>2019</v>
      </c>
      <c r="Q507">
        <v>0.16370000000000001</v>
      </c>
      <c r="R507" s="10"/>
      <c r="S507">
        <f>ROUND(ТабCЕС[[#This Row],[Зелений Тариф ЕЦ]]+ТабCЕС[[#This Row],[Зелений Тариф ЕЦ]]*ТабCЕС[[#This Row],[% надбавки]],4)</f>
        <v>0.16370000000000001</v>
      </c>
      <c r="T507" s="8"/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0.10100000000000001</v>
      </c>
      <c r="AZ507">
        <v>0.13200000000000001</v>
      </c>
    </row>
    <row r="508" spans="3:52">
      <c r="C508" t="s">
        <v>58</v>
      </c>
      <c r="D508" t="s">
        <v>384</v>
      </c>
      <c r="F508" s="1" t="s">
        <v>1234</v>
      </c>
      <c r="G508" s="1" t="s">
        <v>1628</v>
      </c>
      <c r="H508" t="s">
        <v>122</v>
      </c>
      <c r="K508" t="s">
        <v>1629</v>
      </c>
      <c r="L508" s="7">
        <v>0.34799999999999998</v>
      </c>
      <c r="M508" s="8">
        <v>43616</v>
      </c>
      <c r="N508">
        <v>5</v>
      </c>
      <c r="O508" t="s">
        <v>57</v>
      </c>
      <c r="P508">
        <v>2019</v>
      </c>
      <c r="Q508">
        <v>0.16370000000000001</v>
      </c>
      <c r="R508" s="10"/>
      <c r="S508">
        <f>ROUND(ТабCЕС[[#This Row],[Зелений Тариф ЕЦ]]+ТабCЕС[[#This Row],[Зелений Тариф ЕЦ]]*ТабCЕС[[#This Row],[% надбавки]],4)</f>
        <v>0.16370000000000001</v>
      </c>
      <c r="T508" s="8"/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</row>
    <row r="509" spans="3:52">
      <c r="C509" t="s">
        <v>58</v>
      </c>
      <c r="D509" t="s">
        <v>384</v>
      </c>
      <c r="F509" s="1" t="s">
        <v>1234</v>
      </c>
      <c r="G509" s="1" t="s">
        <v>1630</v>
      </c>
      <c r="H509" t="s">
        <v>69</v>
      </c>
      <c r="K509" t="s">
        <v>1631</v>
      </c>
      <c r="L509" s="7">
        <v>0.45300000000000001</v>
      </c>
      <c r="M509" s="8">
        <v>43616</v>
      </c>
      <c r="N509">
        <v>5</v>
      </c>
      <c r="O509" t="s">
        <v>57</v>
      </c>
      <c r="P509">
        <v>2019</v>
      </c>
      <c r="Q509">
        <v>0.16370000000000001</v>
      </c>
      <c r="R509" s="10"/>
      <c r="S509">
        <f>ROUND(ТабCЕС[[#This Row],[Зелений Тариф ЕЦ]]+ТабCЕС[[#This Row],[Зелений Тариф ЕЦ]]*ТабCЕС[[#This Row],[% надбавки]],4)</f>
        <v>0.16370000000000001</v>
      </c>
      <c r="T509" s="8"/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</row>
    <row r="510" spans="3:52">
      <c r="C510" t="s">
        <v>58</v>
      </c>
      <c r="D510" t="s">
        <v>384</v>
      </c>
      <c r="F510" s="1" t="s">
        <v>1632</v>
      </c>
      <c r="G510" s="1" t="s">
        <v>384</v>
      </c>
      <c r="H510" t="s">
        <v>107</v>
      </c>
      <c r="K510" t="s">
        <v>1633</v>
      </c>
      <c r="L510" s="7">
        <v>0.32900000000000001</v>
      </c>
      <c r="M510" s="8">
        <v>43613</v>
      </c>
      <c r="N510">
        <v>5</v>
      </c>
      <c r="O510" t="s">
        <v>57</v>
      </c>
      <c r="P510">
        <v>2019</v>
      </c>
      <c r="Q510">
        <v>0.16370000000000001</v>
      </c>
      <c r="R510" s="10"/>
      <c r="S510">
        <f>ROUND(ТабCЕС[[#This Row],[Зелений Тариф ЕЦ]]+ТабCЕС[[#This Row],[Зелений Тариф ЕЦ]]*ТабCЕС[[#This Row],[% надбавки]],4)</f>
        <v>0.16370000000000001</v>
      </c>
      <c r="T510" s="8"/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</row>
    <row r="511" spans="3:52">
      <c r="C511" t="s">
        <v>58</v>
      </c>
      <c r="D511" t="s">
        <v>384</v>
      </c>
      <c r="F511" s="1" t="s">
        <v>1634</v>
      </c>
      <c r="G511" s="1" t="s">
        <v>384</v>
      </c>
      <c r="H511" t="s">
        <v>82</v>
      </c>
      <c r="K511" t="s">
        <v>1635</v>
      </c>
      <c r="L511" s="7">
        <v>5.1999999999999998E-2</v>
      </c>
      <c r="M511" s="8">
        <v>42649</v>
      </c>
      <c r="N511">
        <v>10</v>
      </c>
      <c r="O511" t="s">
        <v>71</v>
      </c>
      <c r="P511">
        <v>2016</v>
      </c>
      <c r="Q511">
        <v>0.17230000000000001</v>
      </c>
      <c r="R511" s="10"/>
      <c r="S511">
        <f>ROUND(ТабCЕС[[#This Row],[Зелений Тариф ЕЦ]]+ТабCЕС[[#This Row],[Зелений Тариф ЕЦ]]*ТабCЕС[[#This Row],[% надбавки]],4)</f>
        <v>0.17230000000000001</v>
      </c>
      <c r="T511" s="8"/>
      <c r="U511">
        <v>0</v>
      </c>
      <c r="V511">
        <v>0</v>
      </c>
      <c r="W511">
        <v>0</v>
      </c>
      <c r="X511">
        <v>0</v>
      </c>
      <c r="Y511">
        <v>0</v>
      </c>
      <c r="Z511">
        <v>8.0000000000000002E-3</v>
      </c>
      <c r="AA511">
        <v>8.0000000000000002E-3</v>
      </c>
      <c r="AB511">
        <v>6.9999999999999993E-3</v>
      </c>
      <c r="AC511">
        <v>6.0000000000000019E-3</v>
      </c>
      <c r="AD511">
        <v>2.9999999999999992E-3</v>
      </c>
      <c r="AE511">
        <v>1.0000000000000009E-3</v>
      </c>
      <c r="AF511">
        <v>1.0000000000000009E-3</v>
      </c>
      <c r="AG511">
        <v>1E-3</v>
      </c>
      <c r="AH511">
        <v>2E-3</v>
      </c>
      <c r="AI511">
        <v>3.0000000000000001E-3</v>
      </c>
      <c r="AJ511">
        <v>7.0000000000000001E-3</v>
      </c>
      <c r="AK511">
        <v>8.9999999999999993E-3</v>
      </c>
      <c r="AL511">
        <v>8.0000000000000002E-3</v>
      </c>
      <c r="AM511">
        <v>8.0000000000000002E-3</v>
      </c>
      <c r="AN511">
        <v>8.9999999999999993E-3</v>
      </c>
      <c r="AO511">
        <v>5.0000000000000001E-3</v>
      </c>
      <c r="AP511">
        <v>5.0000000000000001E-3</v>
      </c>
      <c r="AQ511">
        <v>2E-3</v>
      </c>
      <c r="AR511">
        <v>1E-3</v>
      </c>
      <c r="AS511">
        <v>1E-3</v>
      </c>
      <c r="AT511">
        <v>2E-3</v>
      </c>
      <c r="AU511">
        <v>6.0000000000000001E-3</v>
      </c>
      <c r="AV511">
        <v>7.0000000000000001E-3</v>
      </c>
      <c r="AW511">
        <v>7.0000000000000001E-3</v>
      </c>
      <c r="AX511">
        <v>8.0000000000000002E-3</v>
      </c>
      <c r="AY511">
        <v>8.0000000000000002E-3</v>
      </c>
      <c r="AZ511">
        <v>8.0000000000000002E-3</v>
      </c>
    </row>
    <row r="512" spans="3:52">
      <c r="C512" t="s">
        <v>58</v>
      </c>
      <c r="D512" t="s">
        <v>384</v>
      </c>
      <c r="F512" s="1" t="s">
        <v>1256</v>
      </c>
      <c r="G512" s="1" t="s">
        <v>384</v>
      </c>
      <c r="H512" t="s">
        <v>1257</v>
      </c>
      <c r="K512" t="s">
        <v>1636</v>
      </c>
      <c r="L512" s="7">
        <v>0.52300000000000002</v>
      </c>
      <c r="M512" s="8">
        <v>43277</v>
      </c>
      <c r="N512">
        <v>6</v>
      </c>
      <c r="O512" t="s">
        <v>57</v>
      </c>
      <c r="P512">
        <v>2018</v>
      </c>
      <c r="Q512">
        <v>0.16370000000000001</v>
      </c>
      <c r="R512" s="10"/>
      <c r="S512">
        <f>ROUND(ТабCЕС[[#This Row],[Зелений Тариф ЕЦ]]+ТабCЕС[[#This Row],[Зелений Тариф ЕЦ]]*ТабCЕС[[#This Row],[% надбавки]],4)</f>
        <v>0.16370000000000001</v>
      </c>
      <c r="T512" s="8"/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0.309</v>
      </c>
      <c r="AO512">
        <v>0.105</v>
      </c>
      <c r="AP512">
        <v>0.106</v>
      </c>
      <c r="AQ512">
        <v>2.5999999999999999E-2</v>
      </c>
      <c r="AR512">
        <v>8.0000000000000002E-3</v>
      </c>
      <c r="AS512">
        <v>1.7999999999999999E-2</v>
      </c>
      <c r="AT512">
        <v>7.9000000000000001E-2</v>
      </c>
      <c r="AU512">
        <v>4.5999999999999985E-2</v>
      </c>
      <c r="AV512">
        <v>0.18999999999999997</v>
      </c>
      <c r="AW512">
        <v>0.13100000000000001</v>
      </c>
      <c r="AX512">
        <v>0.19500000000000001</v>
      </c>
      <c r="AY512">
        <v>0.187</v>
      </c>
      <c r="AZ512">
        <v>0.17799999999999999</v>
      </c>
    </row>
    <row r="513" spans="3:52">
      <c r="C513" t="s">
        <v>58</v>
      </c>
      <c r="D513" t="s">
        <v>384</v>
      </c>
      <c r="F513" s="1" t="s">
        <v>1256</v>
      </c>
      <c r="G513" s="1" t="s">
        <v>384</v>
      </c>
      <c r="H513" t="s">
        <v>1257</v>
      </c>
      <c r="K513" t="s">
        <v>1637</v>
      </c>
      <c r="L513" s="7">
        <v>0.66300000000000003</v>
      </c>
      <c r="M513" s="8">
        <v>43300</v>
      </c>
      <c r="N513">
        <v>7</v>
      </c>
      <c r="O513" t="s">
        <v>60</v>
      </c>
      <c r="P513">
        <v>2018</v>
      </c>
      <c r="Q513">
        <v>0.16370000000000001</v>
      </c>
      <c r="R513" s="10"/>
      <c r="S513">
        <f>ROUND(ТабCЕС[[#This Row],[Зелений Тариф ЕЦ]]+ТабCЕС[[#This Row],[Зелений Тариф ЕЦ]]*ТабCЕС[[#This Row],[% надбавки]],4)</f>
        <v>0.16370000000000001</v>
      </c>
      <c r="T513" s="8"/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</row>
    <row r="514" spans="3:52">
      <c r="C514" t="s">
        <v>58</v>
      </c>
      <c r="D514" t="s">
        <v>384</v>
      </c>
      <c r="F514" s="1" t="s">
        <v>1638</v>
      </c>
      <c r="G514" s="1" t="s">
        <v>384</v>
      </c>
      <c r="H514" t="s">
        <v>65</v>
      </c>
      <c r="K514" t="s">
        <v>1639</v>
      </c>
      <c r="L514" s="7">
        <v>0.46500000000000002</v>
      </c>
      <c r="M514" s="8">
        <v>43111</v>
      </c>
      <c r="N514">
        <v>1</v>
      </c>
      <c r="O514" t="s">
        <v>67</v>
      </c>
      <c r="P514">
        <v>2018</v>
      </c>
      <c r="Q514">
        <v>0.16370000000000001</v>
      </c>
      <c r="R514" s="10"/>
      <c r="S514">
        <f>ROUND(ТабCЕС[[#This Row],[Зелений Тариф ЕЦ]]+ТабCЕС[[#This Row],[Зелений Тариф ЕЦ]]*ТабCЕС[[#This Row],[% надбавки]],4)</f>
        <v>0.16370000000000001</v>
      </c>
      <c r="T514" s="8"/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8.0000000000000002E-3</v>
      </c>
      <c r="AH514">
        <v>2E-3</v>
      </c>
      <c r="AI514">
        <v>1.7000000000000001E-2</v>
      </c>
      <c r="AJ514">
        <v>6.4000000000000001E-2</v>
      </c>
      <c r="AK514">
        <v>7.0999999999999994E-2</v>
      </c>
      <c r="AL514">
        <v>5.8000000000000003E-2</v>
      </c>
      <c r="AM514">
        <v>6.0999999999999999E-2</v>
      </c>
      <c r="AN514">
        <v>6.7000000000000004E-2</v>
      </c>
      <c r="AO514">
        <v>5.0999999999999997E-2</v>
      </c>
      <c r="AP514">
        <v>3.6999999999999998E-2</v>
      </c>
      <c r="AQ514">
        <v>8.9999999999999993E-3</v>
      </c>
      <c r="AR514">
        <v>2E-3</v>
      </c>
      <c r="AS514">
        <v>3.0000000000000001E-3</v>
      </c>
      <c r="AT514">
        <v>0.02</v>
      </c>
      <c r="AU514">
        <v>4.2999999999999997E-2</v>
      </c>
      <c r="AV514">
        <v>5.0999999999999997E-2</v>
      </c>
      <c r="AW514">
        <v>5.3999999999999999E-2</v>
      </c>
      <c r="AX514">
        <v>7.2999999999999995E-2</v>
      </c>
      <c r="AY514">
        <v>7.0000000000000007E-2</v>
      </c>
      <c r="AZ514">
        <v>6.4000000000000001E-2</v>
      </c>
    </row>
    <row r="515" spans="3:52">
      <c r="C515" t="s">
        <v>58</v>
      </c>
      <c r="D515" t="s">
        <v>384</v>
      </c>
      <c r="F515" s="1" t="s">
        <v>1640</v>
      </c>
      <c r="G515" s="1" t="s">
        <v>1641</v>
      </c>
      <c r="H515" t="s">
        <v>107</v>
      </c>
      <c r="K515" t="s">
        <v>1642</v>
      </c>
      <c r="L515" s="7">
        <v>12.404999999999999</v>
      </c>
      <c r="M515" s="8">
        <v>43543</v>
      </c>
      <c r="N515">
        <v>3</v>
      </c>
      <c r="O515" t="s">
        <v>67</v>
      </c>
      <c r="P515">
        <v>2019</v>
      </c>
      <c r="Q515">
        <v>0.16370000000000001</v>
      </c>
      <c r="R515" s="10"/>
      <c r="S515">
        <f>ROUND(ТабCЕС[[#This Row],[Зелений Тариф ЕЦ]]+ТабCЕС[[#This Row],[Зелений Тариф ЕЦ]]*ТабCЕС[[#This Row],[% надбавки]],4)</f>
        <v>0.16370000000000001</v>
      </c>
      <c r="T515" s="8"/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1.82</v>
      </c>
      <c r="AY515">
        <v>1.698</v>
      </c>
      <c r="AZ515">
        <v>1.4510000000000001</v>
      </c>
    </row>
    <row r="516" spans="3:52">
      <c r="C516" t="s">
        <v>58</v>
      </c>
      <c r="D516" t="s">
        <v>384</v>
      </c>
      <c r="F516" s="1" t="s">
        <v>1643</v>
      </c>
      <c r="G516" s="1" t="s">
        <v>384</v>
      </c>
      <c r="H516" t="s">
        <v>122</v>
      </c>
      <c r="K516" t="s">
        <v>1644</v>
      </c>
      <c r="L516" s="7">
        <v>0.33400000000000002</v>
      </c>
      <c r="M516" s="8">
        <v>42911</v>
      </c>
      <c r="N516">
        <v>6</v>
      </c>
      <c r="O516" t="s">
        <v>57</v>
      </c>
      <c r="P516">
        <v>2017</v>
      </c>
      <c r="Q516">
        <v>0.17230000000000001</v>
      </c>
      <c r="R516" s="10"/>
      <c r="S516">
        <f>ROUND(ТабCЕС[[#This Row],[Зелений Тариф ЕЦ]]+ТабCЕС[[#This Row],[Зелений Тариф ЕЦ]]*ТабCЕС[[#This Row],[% надбавки]],4)</f>
        <v>0.17230000000000001</v>
      </c>
      <c r="T516" s="8"/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8.9999999999999993E-3</v>
      </c>
      <c r="AD516">
        <v>0</v>
      </c>
      <c r="AE516">
        <v>8.0000000000000019E-3</v>
      </c>
      <c r="AF516">
        <v>5.9999999999999984E-3</v>
      </c>
      <c r="AG516">
        <v>4.0000000000000001E-3</v>
      </c>
      <c r="AH516">
        <v>0.01</v>
      </c>
      <c r="AI516">
        <v>1.4999999999999999E-2</v>
      </c>
      <c r="AJ516">
        <v>4.5999999999999999E-2</v>
      </c>
      <c r="AK516">
        <v>5.2999999999999999E-2</v>
      </c>
      <c r="AL516">
        <v>5.5E-2</v>
      </c>
      <c r="AM516">
        <v>4.9000000000000002E-2</v>
      </c>
      <c r="AN516">
        <v>5.2999999999999999E-2</v>
      </c>
      <c r="AO516">
        <v>3.3000000000000002E-2</v>
      </c>
      <c r="AP516">
        <v>2.3E-2</v>
      </c>
      <c r="AQ516">
        <v>1.2999999999999999E-2</v>
      </c>
      <c r="AR516">
        <v>2E-3</v>
      </c>
      <c r="AS516">
        <v>3.0000000000000001E-3</v>
      </c>
      <c r="AT516">
        <v>1.4E-2</v>
      </c>
      <c r="AU516">
        <v>3.1E-2</v>
      </c>
      <c r="AV516">
        <v>4.3999999999999997E-2</v>
      </c>
      <c r="AW516">
        <v>4.7E-2</v>
      </c>
      <c r="AX516">
        <v>5.5E-2</v>
      </c>
      <c r="AY516">
        <v>0</v>
      </c>
      <c r="AZ516">
        <v>9.5000000000000001E-2</v>
      </c>
    </row>
    <row r="517" spans="3:52">
      <c r="C517" t="s">
        <v>58</v>
      </c>
      <c r="D517" t="s">
        <v>384</v>
      </c>
      <c r="F517" s="1" t="s">
        <v>1643</v>
      </c>
      <c r="G517" s="1" t="s">
        <v>384</v>
      </c>
      <c r="H517" t="s">
        <v>122</v>
      </c>
      <c r="K517" t="s">
        <v>1644</v>
      </c>
      <c r="L517" s="7">
        <v>0.42899999999999999</v>
      </c>
      <c r="M517" s="8">
        <v>43396</v>
      </c>
      <c r="N517">
        <v>10</v>
      </c>
      <c r="O517" t="s">
        <v>71</v>
      </c>
      <c r="P517">
        <v>2018</v>
      </c>
      <c r="Q517">
        <v>0.16370000000000001</v>
      </c>
      <c r="R517" s="10"/>
      <c r="S517">
        <f>ROUND(ТабCЕС[[#This Row],[Зелений Тариф ЕЦ]]+ТабCЕС[[#This Row],[Зелений Тариф ЕЦ]]*ТабCЕС[[#This Row],[% надбавки]],4)</f>
        <v>0.16370000000000001</v>
      </c>
      <c r="T517" s="8"/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</row>
    <row r="518" spans="3:52">
      <c r="C518" t="s">
        <v>58</v>
      </c>
      <c r="D518" t="s">
        <v>384</v>
      </c>
      <c r="F518" s="1" t="s">
        <v>1645</v>
      </c>
      <c r="G518" s="1" t="s">
        <v>1646</v>
      </c>
      <c r="H518" t="s">
        <v>62</v>
      </c>
      <c r="K518" t="s">
        <v>1647</v>
      </c>
      <c r="L518" s="7">
        <v>0.13200000000000001</v>
      </c>
      <c r="M518" s="8">
        <v>43596</v>
      </c>
      <c r="N518">
        <v>5</v>
      </c>
      <c r="O518" t="s">
        <v>57</v>
      </c>
      <c r="P518">
        <v>2019</v>
      </c>
      <c r="Q518">
        <v>0.16370000000000001</v>
      </c>
      <c r="R518" s="10"/>
      <c r="S518">
        <f>ROUND(ТабCЕС[[#This Row],[Зелений Тариф ЕЦ]]+ТабCЕС[[#This Row],[Зелений Тариф ЕЦ]]*ТабCЕС[[#This Row],[% надбавки]],4)</f>
        <v>0.16370000000000001</v>
      </c>
      <c r="T518" s="8"/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2.4E-2</v>
      </c>
      <c r="AY518">
        <v>1.9E-2</v>
      </c>
      <c r="AZ518">
        <v>1.9E-2</v>
      </c>
    </row>
    <row r="519" spans="3:52">
      <c r="C519" t="s">
        <v>58</v>
      </c>
      <c r="D519" t="s">
        <v>384</v>
      </c>
      <c r="F519" s="1" t="s">
        <v>1648</v>
      </c>
      <c r="G519" s="1" t="s">
        <v>1649</v>
      </c>
      <c r="H519" t="s">
        <v>62</v>
      </c>
      <c r="K519" t="s">
        <v>1650</v>
      </c>
      <c r="L519" s="7">
        <v>0.22</v>
      </c>
      <c r="M519" s="8">
        <v>43637</v>
      </c>
      <c r="N519">
        <v>6</v>
      </c>
      <c r="O519" t="s">
        <v>57</v>
      </c>
      <c r="P519">
        <v>2019</v>
      </c>
      <c r="Q519">
        <v>0.16370000000000001</v>
      </c>
      <c r="R519" s="10"/>
      <c r="S519">
        <f>ROUND(ТабCЕС[[#This Row],[Зелений Тариф ЕЦ]]+ТабCЕС[[#This Row],[Зелений Тариф ЕЦ]]*ТабCЕС[[#This Row],[% надбавки]],4)</f>
        <v>0.16370000000000001</v>
      </c>
      <c r="T519" s="8"/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5.0999999999999997E-2</v>
      </c>
    </row>
    <row r="520" spans="3:52">
      <c r="C520" t="s">
        <v>58</v>
      </c>
      <c r="D520" t="s">
        <v>384</v>
      </c>
      <c r="F520" s="1" t="s">
        <v>1648</v>
      </c>
      <c r="G520" s="1" t="s">
        <v>1651</v>
      </c>
      <c r="H520" t="s">
        <v>62</v>
      </c>
      <c r="K520" t="s">
        <v>1652</v>
      </c>
      <c r="L520" s="7">
        <v>0.24199999999999999</v>
      </c>
      <c r="M520" s="8">
        <v>43637</v>
      </c>
      <c r="N520">
        <v>6</v>
      </c>
      <c r="O520" t="s">
        <v>57</v>
      </c>
      <c r="P520">
        <v>2019</v>
      </c>
      <c r="Q520">
        <v>0.16370000000000001</v>
      </c>
      <c r="R520" s="10"/>
      <c r="S520">
        <f>ROUND(ТабCЕС[[#This Row],[Зелений Тариф ЕЦ]]+ТабCЕС[[#This Row],[Зелений Тариф ЕЦ]]*ТабCЕС[[#This Row],[% надбавки]],4)</f>
        <v>0.16370000000000001</v>
      </c>
      <c r="T520" s="8"/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</row>
    <row r="521" spans="3:52">
      <c r="C521" t="s">
        <v>58</v>
      </c>
      <c r="D521" t="s">
        <v>384</v>
      </c>
      <c r="F521" s="1" t="s">
        <v>1653</v>
      </c>
      <c r="G521" s="1" t="s">
        <v>384</v>
      </c>
      <c r="H521" t="s">
        <v>136</v>
      </c>
      <c r="K521" t="s">
        <v>1654</v>
      </c>
      <c r="L521" s="7">
        <v>0.3</v>
      </c>
      <c r="M521" s="8">
        <v>43596</v>
      </c>
      <c r="N521">
        <v>5</v>
      </c>
      <c r="O521" t="s">
        <v>57</v>
      </c>
      <c r="P521">
        <v>2019</v>
      </c>
      <c r="Q521">
        <v>0.16370000000000001</v>
      </c>
      <c r="R521" s="10"/>
      <c r="S521">
        <f>ROUND(ТабCЕС[[#This Row],[Зелений Тариф ЕЦ]]+ТабCЕС[[#This Row],[Зелений Тариф ЕЦ]]*ТабCЕС[[#This Row],[% надбавки]],4)</f>
        <v>0.16370000000000001</v>
      </c>
      <c r="T521" s="8"/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4.9000000000000002E-2</v>
      </c>
      <c r="AY521">
        <v>5.1999999999999998E-2</v>
      </c>
      <c r="AZ521">
        <v>4.8000000000000001E-2</v>
      </c>
    </row>
    <row r="522" spans="3:52">
      <c r="C522" t="s">
        <v>58</v>
      </c>
      <c r="D522" t="s">
        <v>384</v>
      </c>
      <c r="F522" s="1" t="s">
        <v>1655</v>
      </c>
      <c r="G522" s="1" t="s">
        <v>384</v>
      </c>
      <c r="H522" t="s">
        <v>107</v>
      </c>
      <c r="K522" t="s">
        <v>1656</v>
      </c>
      <c r="L522" s="7">
        <v>0.29599999999999999</v>
      </c>
      <c r="M522" s="8">
        <v>43020</v>
      </c>
      <c r="N522">
        <v>10</v>
      </c>
      <c r="O522" t="s">
        <v>71</v>
      </c>
      <c r="P522">
        <v>2017</v>
      </c>
      <c r="Q522">
        <v>0.16370000000000001</v>
      </c>
      <c r="R522" s="10"/>
      <c r="S522">
        <f>ROUND(ТабCЕС[[#This Row],[Зелений Тариф ЕЦ]]+ТабCЕС[[#This Row],[Зелений Тариф ЕЦ]]*ТабCЕС[[#This Row],[% надбавки]],4)</f>
        <v>0.16370000000000001</v>
      </c>
      <c r="T522" s="8"/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2E-3</v>
      </c>
      <c r="AG522">
        <v>6.0000000000000001E-3</v>
      </c>
      <c r="AH522">
        <v>7.0000000000000001E-3</v>
      </c>
      <c r="AI522">
        <v>1.4E-2</v>
      </c>
      <c r="AJ522">
        <v>4.1000000000000002E-2</v>
      </c>
      <c r="AK522">
        <v>4.9000000000000002E-2</v>
      </c>
      <c r="AL522">
        <v>4.3999999999999997E-2</v>
      </c>
      <c r="AM522">
        <v>3.9E-2</v>
      </c>
      <c r="AN522">
        <v>4.1000000000000002E-2</v>
      </c>
      <c r="AO522">
        <v>2.9000000000000001E-2</v>
      </c>
      <c r="AP522">
        <v>2.4E-2</v>
      </c>
      <c r="AQ522">
        <v>8.0000000000000002E-3</v>
      </c>
      <c r="AR522">
        <v>1E-3</v>
      </c>
      <c r="AS522">
        <v>1E-3</v>
      </c>
      <c r="AT522">
        <v>1.2E-2</v>
      </c>
      <c r="AU522">
        <v>2.5000000000000001E-2</v>
      </c>
      <c r="AV522">
        <v>3.3000000000000002E-2</v>
      </c>
      <c r="AW522">
        <v>0.03</v>
      </c>
      <c r="AX522">
        <v>4.9000000000000002E-2</v>
      </c>
      <c r="AY522">
        <v>0</v>
      </c>
      <c r="AZ522">
        <v>0</v>
      </c>
    </row>
    <row r="523" spans="3:52">
      <c r="C523" t="s">
        <v>58</v>
      </c>
      <c r="D523" t="s">
        <v>384</v>
      </c>
      <c r="F523" s="1" t="s">
        <v>1657</v>
      </c>
      <c r="G523" s="1" t="s">
        <v>384</v>
      </c>
      <c r="H523" t="s">
        <v>1658</v>
      </c>
      <c r="K523" t="s">
        <v>1659</v>
      </c>
      <c r="L523" s="7">
        <v>7.0000000000000007E-2</v>
      </c>
      <c r="M523" s="8">
        <v>43371</v>
      </c>
      <c r="N523">
        <v>9</v>
      </c>
      <c r="O523" t="s">
        <v>60</v>
      </c>
      <c r="P523">
        <v>2018</v>
      </c>
      <c r="Q523">
        <v>0.16370000000000001</v>
      </c>
      <c r="R523" s="10"/>
      <c r="S523">
        <f>ROUND(ТабCЕС[[#This Row],[Зелений Тариф ЕЦ]]+ТабCЕС[[#This Row],[Зелений Тариф ЕЦ]]*ТабCЕС[[#This Row],[% надбавки]],4)</f>
        <v>0.16370000000000001</v>
      </c>
      <c r="T523" s="8"/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</row>
    <row r="524" spans="3:52">
      <c r="C524" t="s">
        <v>58</v>
      </c>
      <c r="D524" t="s">
        <v>384</v>
      </c>
      <c r="F524" s="1" t="s">
        <v>1660</v>
      </c>
      <c r="G524" s="1" t="s">
        <v>683</v>
      </c>
      <c r="H524" t="s">
        <v>163</v>
      </c>
      <c r="K524" t="s">
        <v>1661</v>
      </c>
      <c r="L524" s="7">
        <v>6.4000000000000001E-2</v>
      </c>
      <c r="M524" s="8">
        <v>43046</v>
      </c>
      <c r="N524">
        <v>11</v>
      </c>
      <c r="O524" t="s">
        <v>71</v>
      </c>
      <c r="P524">
        <v>2017</v>
      </c>
      <c r="Q524">
        <v>0.16370000000000001</v>
      </c>
      <c r="R524" s="10"/>
      <c r="S524">
        <f>ROUND(ТабCЕС[[#This Row],[Зелений Тариф ЕЦ]]+ТабCЕС[[#This Row],[Зелений Тариф ЕЦ]]*ТабCЕС[[#This Row],[% надбавки]],4)</f>
        <v>0.16370000000000001</v>
      </c>
      <c r="T524" s="8"/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0.01</v>
      </c>
      <c r="AL524">
        <v>0.01</v>
      </c>
      <c r="AM524">
        <v>8.9999999999999993E-3</v>
      </c>
      <c r="AN524">
        <v>1.0999999999999999E-2</v>
      </c>
      <c r="AO524">
        <v>7.0000000000000001E-3</v>
      </c>
      <c r="AP524">
        <v>6.0000000000000001E-3</v>
      </c>
      <c r="AQ524">
        <v>2E-3</v>
      </c>
      <c r="AR524">
        <v>0</v>
      </c>
      <c r="AS524">
        <v>1E-3</v>
      </c>
      <c r="AT524">
        <v>3.0000000000000001E-3</v>
      </c>
      <c r="AU524">
        <v>5.0000000000000001E-3</v>
      </c>
      <c r="AV524">
        <v>8.0000000000000002E-3</v>
      </c>
      <c r="AW524">
        <v>8.0000000000000002E-3</v>
      </c>
      <c r="AX524">
        <v>0.01</v>
      </c>
      <c r="AY524">
        <v>0.01</v>
      </c>
      <c r="AZ524">
        <v>8.9999999999999993E-3</v>
      </c>
    </row>
    <row r="525" spans="3:52">
      <c r="C525" t="s">
        <v>58</v>
      </c>
      <c r="D525" t="s">
        <v>384</v>
      </c>
      <c r="F525" s="1" t="s">
        <v>1662</v>
      </c>
      <c r="G525" s="1" t="s">
        <v>384</v>
      </c>
      <c r="H525" t="s">
        <v>122</v>
      </c>
      <c r="K525" t="s">
        <v>1663</v>
      </c>
      <c r="L525" s="7">
        <v>0.48399999999999999</v>
      </c>
      <c r="M525" s="8">
        <v>43553</v>
      </c>
      <c r="N525">
        <v>3</v>
      </c>
      <c r="O525" t="s">
        <v>67</v>
      </c>
      <c r="P525">
        <v>2019</v>
      </c>
      <c r="Q525">
        <v>0.16370000000000001</v>
      </c>
      <c r="R525" s="10"/>
      <c r="S525">
        <f>ROUND(ТабCЕС[[#This Row],[Зелений Тариф ЕЦ]]+ТабCЕС[[#This Row],[Зелений Тариф ЕЦ]]*ТабCЕС[[#This Row],[% надбавки]],4)</f>
        <v>0.16370000000000001</v>
      </c>
      <c r="T525" s="8"/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4.9000000000000002E-2</v>
      </c>
      <c r="AY525">
        <v>7.6999999999999999E-2</v>
      </c>
      <c r="AZ525">
        <v>7.0000000000000007E-2</v>
      </c>
    </row>
    <row r="526" spans="3:52">
      <c r="C526" t="s">
        <v>58</v>
      </c>
      <c r="D526" t="s">
        <v>384</v>
      </c>
      <c r="F526" s="1" t="s">
        <v>1350</v>
      </c>
      <c r="G526" s="1" t="s">
        <v>384</v>
      </c>
      <c r="H526" t="s">
        <v>65</v>
      </c>
      <c r="K526" t="s">
        <v>1664</v>
      </c>
      <c r="L526" s="7">
        <v>0.08</v>
      </c>
      <c r="M526" s="8">
        <v>43111</v>
      </c>
      <c r="N526">
        <v>1</v>
      </c>
      <c r="O526" t="s">
        <v>67</v>
      </c>
      <c r="P526">
        <v>2018</v>
      </c>
      <c r="Q526">
        <v>0.16370000000000001</v>
      </c>
      <c r="R526" s="10"/>
      <c r="S526">
        <f>ROUND(ТабCЕС[[#This Row],[Зелений Тариф ЕЦ]]+ТабCЕС[[#This Row],[Зелений Тариф ЕЦ]]*ТабCЕС[[#This Row],[% надбавки]],4)</f>
        <v>0.16370000000000001</v>
      </c>
      <c r="T526" s="8"/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1E-3</v>
      </c>
      <c r="AH526">
        <v>1E-3</v>
      </c>
      <c r="AI526">
        <v>2E-3</v>
      </c>
      <c r="AJ526">
        <v>8.9999999999999993E-3</v>
      </c>
      <c r="AK526">
        <v>0.01</v>
      </c>
      <c r="AL526">
        <v>8.9999999999999993E-3</v>
      </c>
      <c r="AM526">
        <v>8.9999999999999993E-3</v>
      </c>
      <c r="AN526">
        <v>8.9999999999999993E-3</v>
      </c>
      <c r="AO526">
        <v>6.0000000000000001E-3</v>
      </c>
      <c r="AP526">
        <v>4.0000000000000001E-3</v>
      </c>
      <c r="AQ526">
        <v>1E-3</v>
      </c>
      <c r="AR526">
        <v>0</v>
      </c>
      <c r="AS526">
        <v>0</v>
      </c>
      <c r="AT526">
        <v>2E-3</v>
      </c>
      <c r="AU526">
        <v>6.0000000000000001E-3</v>
      </c>
      <c r="AV526">
        <v>7.0000000000000001E-3</v>
      </c>
      <c r="AW526">
        <v>7.0000000000000001E-3</v>
      </c>
      <c r="AX526">
        <v>8.9999999999999993E-3</v>
      </c>
      <c r="AY526">
        <v>8.9999999999999993E-3</v>
      </c>
      <c r="AZ526">
        <v>8.0000000000000002E-3</v>
      </c>
    </row>
    <row r="527" spans="3:52">
      <c r="C527" t="s">
        <v>58</v>
      </c>
      <c r="D527" t="s">
        <v>384</v>
      </c>
      <c r="F527" s="1" t="s">
        <v>1350</v>
      </c>
      <c r="G527" s="1" t="s">
        <v>384</v>
      </c>
      <c r="H527" t="s">
        <v>65</v>
      </c>
      <c r="K527" t="s">
        <v>1665</v>
      </c>
      <c r="L527" s="7">
        <v>0.35899999999999999</v>
      </c>
      <c r="M527" s="8">
        <v>43130</v>
      </c>
      <c r="N527">
        <v>1</v>
      </c>
      <c r="O527" t="s">
        <v>67</v>
      </c>
      <c r="P527">
        <v>2018</v>
      </c>
      <c r="Q527">
        <v>0.16370000000000001</v>
      </c>
      <c r="R527" s="10"/>
      <c r="S527">
        <f>ROUND(ТабCЕС[[#This Row],[Зелений Тариф ЕЦ]]+ТабCЕС[[#This Row],[Зелений Тариф ЕЦ]]*ТабCЕС[[#This Row],[% надбавки]],4)</f>
        <v>0.16370000000000001</v>
      </c>
      <c r="T527" s="8"/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5.0000000000000001E-3</v>
      </c>
      <c r="AH527">
        <v>8.0000000000000002E-3</v>
      </c>
      <c r="AI527">
        <v>1.4E-2</v>
      </c>
      <c r="AJ527">
        <v>3.9E-2</v>
      </c>
      <c r="AK527">
        <v>0.05</v>
      </c>
      <c r="AL527">
        <v>4.1000000000000002E-2</v>
      </c>
      <c r="AM527">
        <v>4.3999999999999997E-2</v>
      </c>
      <c r="AN527">
        <v>4.8000000000000001E-2</v>
      </c>
      <c r="AO527">
        <v>4.0999999999999995E-2</v>
      </c>
      <c r="AP527">
        <v>3.2000000000000001E-2</v>
      </c>
      <c r="AQ527">
        <v>0.01</v>
      </c>
      <c r="AR527">
        <v>4.0000000000000001E-3</v>
      </c>
      <c r="AS527">
        <v>4.0000000000000001E-3</v>
      </c>
      <c r="AT527">
        <v>0.02</v>
      </c>
      <c r="AU527">
        <v>2.9000000000000001E-2</v>
      </c>
      <c r="AV527">
        <v>3.7999999999999999E-2</v>
      </c>
      <c r="AW527">
        <v>3.7999999999999999E-2</v>
      </c>
      <c r="AX527">
        <v>5.0999999999999997E-2</v>
      </c>
      <c r="AY527">
        <v>5.0999999999999997E-2</v>
      </c>
      <c r="AZ527">
        <v>4.9000000000000002E-2</v>
      </c>
    </row>
    <row r="528" spans="3:52">
      <c r="C528" t="s">
        <v>58</v>
      </c>
      <c r="D528" t="s">
        <v>384</v>
      </c>
      <c r="F528" s="1" t="s">
        <v>1350</v>
      </c>
      <c r="G528" s="1" t="s">
        <v>384</v>
      </c>
      <c r="H528" t="s">
        <v>65</v>
      </c>
      <c r="K528" t="s">
        <v>1666</v>
      </c>
      <c r="L528" s="7">
        <v>0.16800000000000001</v>
      </c>
      <c r="M528" s="8">
        <v>43476</v>
      </c>
      <c r="N528">
        <v>1</v>
      </c>
      <c r="O528" t="s">
        <v>67</v>
      </c>
      <c r="P528">
        <v>2019</v>
      </c>
      <c r="Q528">
        <v>0.16370000000000001</v>
      </c>
      <c r="R528" s="10"/>
      <c r="S528">
        <f>ROUND(ТабCЕС[[#This Row],[Зелений Тариф ЕЦ]]+ТабCЕС[[#This Row],[Зелений Тариф ЕЦ]]*ТабCЕС[[#This Row],[% надбавки]],4)</f>
        <v>0.16370000000000001</v>
      </c>
      <c r="T528" s="8"/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1E-3</v>
      </c>
      <c r="AT528">
        <v>7.0000000000000001E-3</v>
      </c>
      <c r="AU528">
        <v>1.4E-2</v>
      </c>
      <c r="AV528">
        <v>1.7999999999999999E-2</v>
      </c>
      <c r="AW528">
        <v>1.9E-2</v>
      </c>
      <c r="AX528">
        <v>2.5999999999999999E-2</v>
      </c>
      <c r="AY528">
        <v>2.5999999999999999E-2</v>
      </c>
      <c r="AZ528">
        <v>2.3E-2</v>
      </c>
    </row>
    <row r="529" spans="2:52">
      <c r="C529" t="s">
        <v>58</v>
      </c>
      <c r="D529" t="s">
        <v>384</v>
      </c>
      <c r="F529" s="1" t="s">
        <v>1667</v>
      </c>
      <c r="G529" s="1" t="s">
        <v>683</v>
      </c>
      <c r="H529" t="s">
        <v>73</v>
      </c>
      <c r="K529" t="s">
        <v>1668</v>
      </c>
      <c r="L529" s="7">
        <v>0.05</v>
      </c>
      <c r="M529" s="8">
        <v>42670</v>
      </c>
      <c r="N529">
        <v>10</v>
      </c>
      <c r="O529" t="s">
        <v>71</v>
      </c>
      <c r="P529">
        <v>2016</v>
      </c>
      <c r="Q529">
        <v>0.17230000000000001</v>
      </c>
      <c r="R529" s="10"/>
      <c r="S529">
        <f>ROUND(ТабCЕС[[#This Row],[Зелений Тариф ЕЦ]]+ТабCЕС[[#This Row],[Зелений Тариф ЕЦ]]*ТабCЕС[[#This Row],[% надбавки]],4)</f>
        <v>0.17230000000000001</v>
      </c>
      <c r="T529" s="8"/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</row>
    <row r="530" spans="2:52">
      <c r="C530" t="s">
        <v>58</v>
      </c>
      <c r="D530" t="s">
        <v>384</v>
      </c>
      <c r="F530" s="1" t="s">
        <v>1669</v>
      </c>
      <c r="G530" s="1" t="s">
        <v>1670</v>
      </c>
      <c r="H530" t="s">
        <v>122</v>
      </c>
      <c r="K530" t="s">
        <v>1671</v>
      </c>
      <c r="L530" s="7">
        <v>323.29000000000002</v>
      </c>
      <c r="M530" s="8">
        <v>43714</v>
      </c>
      <c r="N530">
        <v>9</v>
      </c>
      <c r="O530" t="s">
        <v>60</v>
      </c>
      <c r="P530">
        <v>2019</v>
      </c>
      <c r="Q530">
        <v>0.15029999999999999</v>
      </c>
      <c r="R530" s="10"/>
      <c r="S530">
        <f>ROUND(ТабCЕС[[#This Row],[Зелений Тариф ЕЦ]]+ТабCЕС[[#This Row],[Зелений Тариф ЕЦ]]*ТабCЕС[[#This Row],[% надбавки]],4)</f>
        <v>0.15029999999999999</v>
      </c>
      <c r="T530" s="8"/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</row>
    <row r="531" spans="2:52">
      <c r="C531" t="s">
        <v>58</v>
      </c>
      <c r="D531" t="s">
        <v>384</v>
      </c>
      <c r="F531" s="1" t="s">
        <v>1672</v>
      </c>
      <c r="G531" s="1" t="s">
        <v>1673</v>
      </c>
      <c r="H531" t="s">
        <v>65</v>
      </c>
      <c r="K531" t="s">
        <v>1674</v>
      </c>
      <c r="L531" s="7">
        <v>0.69299999999999995</v>
      </c>
      <c r="M531" s="8">
        <v>43714</v>
      </c>
      <c r="N531">
        <v>9</v>
      </c>
      <c r="O531" t="s">
        <v>60</v>
      </c>
      <c r="P531">
        <v>2019</v>
      </c>
      <c r="Q531">
        <v>0.15029999999999999</v>
      </c>
      <c r="R531" s="10"/>
      <c r="S531">
        <f>ROUND(ТабCЕС[[#This Row],[Зелений Тариф ЕЦ]]+ТабCЕС[[#This Row],[Зелений Тариф ЕЦ]]*ТабCЕС[[#This Row],[% надбавки]],4)</f>
        <v>0.15029999999999999</v>
      </c>
      <c r="T531" s="8"/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</row>
    <row r="532" spans="2:52">
      <c r="C532" t="s">
        <v>58</v>
      </c>
      <c r="D532" t="s">
        <v>384</v>
      </c>
      <c r="F532" s="1" t="s">
        <v>1675</v>
      </c>
      <c r="G532" s="1" t="s">
        <v>824</v>
      </c>
      <c r="H532" t="s">
        <v>163</v>
      </c>
      <c r="K532" t="s">
        <v>1676</v>
      </c>
      <c r="L532" s="7">
        <v>0.52100000000000002</v>
      </c>
      <c r="M532" s="8">
        <v>43714</v>
      </c>
      <c r="N532">
        <v>9</v>
      </c>
      <c r="O532" t="s">
        <v>60</v>
      </c>
      <c r="P532">
        <v>2019</v>
      </c>
      <c r="Q532">
        <v>0.15029999999999999</v>
      </c>
      <c r="R532" s="10"/>
      <c r="S532">
        <f>ROUND(ТабCЕС[[#This Row],[Зелений Тариф ЕЦ]]+ТабCЕС[[#This Row],[Зелений Тариф ЕЦ]]*ТабCЕС[[#This Row],[% надбавки]],4)</f>
        <v>0.15029999999999999</v>
      </c>
      <c r="T532" s="8"/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</row>
    <row r="533" spans="2:52">
      <c r="C533" t="s">
        <v>58</v>
      </c>
      <c r="D533" t="s">
        <v>384</v>
      </c>
      <c r="F533" s="1" t="s">
        <v>1677</v>
      </c>
      <c r="G533" s="1" t="s">
        <v>384</v>
      </c>
      <c r="H533" t="s">
        <v>172</v>
      </c>
      <c r="K533" t="s">
        <v>1678</v>
      </c>
      <c r="L533" s="7">
        <v>3.004</v>
      </c>
      <c r="M533" s="8">
        <v>43714</v>
      </c>
      <c r="N533">
        <v>9</v>
      </c>
      <c r="O533" t="s">
        <v>60</v>
      </c>
      <c r="P533">
        <v>2019</v>
      </c>
      <c r="Q533">
        <v>0.15029999999999999</v>
      </c>
      <c r="R533" s="10"/>
      <c r="S533">
        <f>ROUND(ТабCЕС[[#This Row],[Зелений Тариф ЕЦ]]+ТабCЕС[[#This Row],[Зелений Тариф ЕЦ]]*ТабCЕС[[#This Row],[% надбавки]],4)</f>
        <v>0.15029999999999999</v>
      </c>
      <c r="T533" s="8"/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</row>
    <row r="534" spans="2:52">
      <c r="C534" t="s">
        <v>58</v>
      </c>
      <c r="D534" t="s">
        <v>384</v>
      </c>
      <c r="F534" s="1" t="s">
        <v>1679</v>
      </c>
      <c r="G534" s="1" t="s">
        <v>384</v>
      </c>
      <c r="H534" t="s">
        <v>82</v>
      </c>
      <c r="K534" t="s">
        <v>1680</v>
      </c>
      <c r="L534" s="7">
        <v>1.0269999999999999</v>
      </c>
      <c r="M534" s="8">
        <v>43714</v>
      </c>
      <c r="N534">
        <v>9</v>
      </c>
      <c r="O534" t="s">
        <v>60</v>
      </c>
      <c r="P534">
        <v>2019</v>
      </c>
      <c r="Q534">
        <v>0.15029999999999999</v>
      </c>
      <c r="R534" s="10"/>
      <c r="S534">
        <f>ROUND(ТабCЕС[[#This Row],[Зелений Тариф ЕЦ]]+ТабCЕС[[#This Row],[Зелений Тариф ЕЦ]]*ТабCЕС[[#This Row],[% надбавки]],4)</f>
        <v>0.15029999999999999</v>
      </c>
      <c r="T534" s="8"/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</row>
    <row r="535" spans="2:52">
      <c r="C535" t="s">
        <v>58</v>
      </c>
      <c r="D535" t="s">
        <v>384</v>
      </c>
      <c r="F535" s="1" t="s">
        <v>1681</v>
      </c>
      <c r="G535" s="1" t="s">
        <v>384</v>
      </c>
      <c r="H535" t="s">
        <v>233</v>
      </c>
      <c r="K535" t="s">
        <v>1682</v>
      </c>
      <c r="L535" s="7">
        <v>1.86</v>
      </c>
      <c r="M535" s="8">
        <v>43714</v>
      </c>
      <c r="N535">
        <v>9</v>
      </c>
      <c r="O535" t="s">
        <v>60</v>
      </c>
      <c r="P535">
        <v>2019</v>
      </c>
      <c r="Q535">
        <v>0.15029999999999999</v>
      </c>
      <c r="R535" s="10"/>
      <c r="S535">
        <f>ROUND(ТабCЕС[[#This Row],[Зелений Тариф ЕЦ]]+ТабCЕС[[#This Row],[Зелений Тариф ЕЦ]]*ТабCЕС[[#This Row],[% надбавки]],4)</f>
        <v>0.15029999999999999</v>
      </c>
      <c r="T535" s="8"/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</row>
    <row r="536" spans="2:52">
      <c r="C536" t="s">
        <v>58</v>
      </c>
      <c r="D536" t="s">
        <v>384</v>
      </c>
      <c r="F536" s="1" t="s">
        <v>1683</v>
      </c>
      <c r="G536" s="1" t="s">
        <v>384</v>
      </c>
      <c r="H536" t="s">
        <v>73</v>
      </c>
      <c r="K536" t="s">
        <v>1684</v>
      </c>
      <c r="L536" s="7">
        <v>0.622</v>
      </c>
      <c r="M536" s="8">
        <v>43714</v>
      </c>
      <c r="N536">
        <v>9</v>
      </c>
      <c r="O536" t="s">
        <v>60</v>
      </c>
      <c r="P536">
        <v>2019</v>
      </c>
      <c r="Q536">
        <v>0.16370000000000001</v>
      </c>
      <c r="R536" s="10"/>
      <c r="S536">
        <f>ROUND(ТабCЕС[[#This Row],[Зелений Тариф ЕЦ]]+ТабCЕС[[#This Row],[Зелений Тариф ЕЦ]]*ТабCЕС[[#This Row],[% надбавки]],4)</f>
        <v>0.16370000000000001</v>
      </c>
      <c r="T536" s="8"/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</row>
    <row r="537" spans="2:52">
      <c r="C537" t="s">
        <v>58</v>
      </c>
      <c r="D537" t="s">
        <v>384</v>
      </c>
      <c r="F537" s="1" t="s">
        <v>1685</v>
      </c>
      <c r="G537" s="1" t="s">
        <v>384</v>
      </c>
      <c r="H537" t="s">
        <v>69</v>
      </c>
      <c r="K537" t="s">
        <v>1686</v>
      </c>
      <c r="L537" s="7">
        <v>0.252</v>
      </c>
      <c r="M537" s="8">
        <v>43714</v>
      </c>
      <c r="N537">
        <v>9</v>
      </c>
      <c r="O537" t="s">
        <v>60</v>
      </c>
      <c r="P537">
        <v>2019</v>
      </c>
      <c r="Q537">
        <v>0.16370000000000001</v>
      </c>
      <c r="R537" s="10"/>
      <c r="S537">
        <f>ROUND(ТабCЕС[[#This Row],[Зелений Тариф ЕЦ]]+ТабCЕС[[#This Row],[Зелений Тариф ЕЦ]]*ТабCЕС[[#This Row],[% надбавки]],4)</f>
        <v>0.16370000000000001</v>
      </c>
      <c r="T537" s="8"/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</row>
    <row r="538" spans="2:52">
      <c r="C538" t="s">
        <v>58</v>
      </c>
      <c r="D538" t="s">
        <v>384</v>
      </c>
      <c r="F538" s="1" t="s">
        <v>1687</v>
      </c>
      <c r="G538" s="1" t="s">
        <v>1688</v>
      </c>
      <c r="H538" t="s">
        <v>98</v>
      </c>
      <c r="K538" t="s">
        <v>1689</v>
      </c>
      <c r="L538" s="7">
        <v>1.7949999999999999</v>
      </c>
      <c r="M538" s="8">
        <v>43655</v>
      </c>
      <c r="N538">
        <v>7</v>
      </c>
      <c r="O538" t="s">
        <v>60</v>
      </c>
      <c r="P538">
        <v>2019</v>
      </c>
      <c r="Q538">
        <v>0.15029999999999999</v>
      </c>
      <c r="R538" s="10"/>
      <c r="S538">
        <f>ROUND(ТабCЕС[[#This Row],[Зелений Тариф ЕЦ]]+ТабCЕС[[#This Row],[Зелений Тариф ЕЦ]]*ТабCЕС[[#This Row],[% надбавки]],4)</f>
        <v>0.15029999999999999</v>
      </c>
      <c r="T538" s="8"/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0.214</v>
      </c>
    </row>
    <row r="539" spans="2:52">
      <c r="C539" t="s">
        <v>58</v>
      </c>
      <c r="D539" t="s">
        <v>384</v>
      </c>
      <c r="F539" s="1" t="s">
        <v>1690</v>
      </c>
      <c r="G539" s="1" t="s">
        <v>1691</v>
      </c>
      <c r="H539" t="s">
        <v>233</v>
      </c>
      <c r="I539" t="s">
        <v>404</v>
      </c>
      <c r="J539" t="s">
        <v>1692</v>
      </c>
      <c r="K539" t="s">
        <v>1693</v>
      </c>
      <c r="L539" s="7">
        <v>6.0190000000000001</v>
      </c>
      <c r="M539" s="8">
        <v>43655</v>
      </c>
      <c r="N539">
        <v>7</v>
      </c>
      <c r="O539" t="s">
        <v>60</v>
      </c>
      <c r="P539">
        <v>2019</v>
      </c>
      <c r="Q539">
        <v>0.15029999999999999</v>
      </c>
      <c r="R539" s="10"/>
      <c r="S539">
        <f>ROUND(ТабCЕС[[#This Row],[Зелений Тариф ЕЦ]]+ТабCЕС[[#This Row],[Зелений Тариф ЕЦ]]*ТабCЕС[[#This Row],[% надбавки]],4)</f>
        <v>0.15029999999999999</v>
      </c>
      <c r="T539" s="8"/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</row>
    <row r="540" spans="2:52">
      <c r="C540" t="s">
        <v>58</v>
      </c>
      <c r="D540" t="s">
        <v>384</v>
      </c>
      <c r="F540" s="1" t="s">
        <v>1694</v>
      </c>
      <c r="G540" s="1" t="s">
        <v>1695</v>
      </c>
      <c r="H540" t="s">
        <v>163</v>
      </c>
      <c r="K540" t="s">
        <v>1696</v>
      </c>
      <c r="L540" s="7">
        <v>1.9159999999999999</v>
      </c>
      <c r="M540" s="8">
        <v>43655</v>
      </c>
      <c r="N540">
        <v>7</v>
      </c>
      <c r="O540" t="s">
        <v>60</v>
      </c>
      <c r="P540">
        <v>2019</v>
      </c>
      <c r="Q540">
        <v>0.15029999999999999</v>
      </c>
      <c r="R540" s="10"/>
      <c r="S540">
        <f>ROUND(ТабCЕС[[#This Row],[Зелений Тариф ЕЦ]]+ТабCЕС[[#This Row],[Зелений Тариф ЕЦ]]*ТабCЕС[[#This Row],[% надбавки]],4)</f>
        <v>0.15029999999999999</v>
      </c>
      <c r="T540" s="8"/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0.22</v>
      </c>
    </row>
    <row r="541" spans="2:52">
      <c r="B541" t="s">
        <v>1697</v>
      </c>
      <c r="C541">
        <v>40075582</v>
      </c>
      <c r="D541" t="s">
        <v>384</v>
      </c>
      <c r="F541" s="1" t="s">
        <v>1698</v>
      </c>
      <c r="G541" s="1" t="s">
        <v>1673</v>
      </c>
      <c r="H541" t="s">
        <v>163</v>
      </c>
      <c r="K541" t="s">
        <v>1699</v>
      </c>
      <c r="L541" s="7">
        <v>1.054</v>
      </c>
      <c r="M541" s="8">
        <v>43655</v>
      </c>
      <c r="N541">
        <v>7</v>
      </c>
      <c r="O541" t="s">
        <v>60</v>
      </c>
      <c r="P541">
        <v>2019</v>
      </c>
      <c r="Q541">
        <v>0.16370000000000001</v>
      </c>
      <c r="R541" s="10"/>
      <c r="S541">
        <f>ROUND(ТабCЕС[[#This Row],[Зелений Тариф ЕЦ]]+ТабCЕС[[#This Row],[Зелений Тариф ЕЦ]]*ТабCЕС[[#This Row],[% надбавки]],4)</f>
        <v>0.16370000000000001</v>
      </c>
      <c r="T541" s="8"/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4.2000000000000003E-2</v>
      </c>
      <c r="AZ541">
        <v>0.14099999999999999</v>
      </c>
    </row>
    <row r="542" spans="2:52">
      <c r="C542" t="s">
        <v>58</v>
      </c>
      <c r="D542" t="s">
        <v>384</v>
      </c>
      <c r="F542" s="1" t="s">
        <v>1700</v>
      </c>
      <c r="G542" s="1" t="s">
        <v>1673</v>
      </c>
      <c r="H542" t="s">
        <v>62</v>
      </c>
      <c r="K542" t="s">
        <v>1701</v>
      </c>
      <c r="L542" s="7">
        <v>0.58599999999999997</v>
      </c>
      <c r="M542" s="8">
        <v>43655</v>
      </c>
      <c r="N542">
        <v>7</v>
      </c>
      <c r="O542" t="s">
        <v>60</v>
      </c>
      <c r="P542">
        <v>2019</v>
      </c>
      <c r="Q542">
        <v>0.16370000000000001</v>
      </c>
      <c r="R542" s="10"/>
      <c r="S542">
        <f>ROUND(ТабCЕС[[#This Row],[Зелений Тариф ЕЦ]]+ТабCЕС[[#This Row],[Зелений Тариф ЕЦ]]*ТабCЕС[[#This Row],[% надбавки]],4)</f>
        <v>0.16370000000000001</v>
      </c>
      <c r="T542" s="8"/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</row>
    <row r="543" spans="2:52">
      <c r="C543" t="s">
        <v>58</v>
      </c>
      <c r="D543" t="s">
        <v>384</v>
      </c>
      <c r="F543" s="1" t="s">
        <v>1702</v>
      </c>
      <c r="G543" s="1" t="s">
        <v>1703</v>
      </c>
      <c r="H543" t="s">
        <v>172</v>
      </c>
      <c r="K543" t="s">
        <v>1704</v>
      </c>
      <c r="L543" s="7">
        <v>14.298999999999999</v>
      </c>
      <c r="M543" s="8">
        <v>43664</v>
      </c>
      <c r="N543">
        <v>7</v>
      </c>
      <c r="O543" t="s">
        <v>60</v>
      </c>
      <c r="P543">
        <v>2019</v>
      </c>
      <c r="Q543">
        <v>0.15029999999999999</v>
      </c>
      <c r="R543" s="10">
        <v>0.05</v>
      </c>
      <c r="S543">
        <f>ROUND(ТабCЕС[[#This Row],[Зелений Тариф ЕЦ]]+ТабCЕС[[#This Row],[Зелений Тариф ЕЦ]]*ТабCЕС[[#This Row],[% надбавки]],4)</f>
        <v>0.1578</v>
      </c>
      <c r="T543" s="8">
        <v>43664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1.79</v>
      </c>
    </row>
    <row r="544" spans="2:52">
      <c r="C544" t="s">
        <v>58</v>
      </c>
      <c r="D544" t="s">
        <v>384</v>
      </c>
      <c r="F544" s="1" t="s">
        <v>1705</v>
      </c>
      <c r="G544" s="1" t="s">
        <v>1706</v>
      </c>
      <c r="H544" t="s">
        <v>198</v>
      </c>
      <c r="K544" t="s">
        <v>1707</v>
      </c>
      <c r="L544" s="7">
        <v>0.45700000000000002</v>
      </c>
      <c r="M544" s="8">
        <v>43664</v>
      </c>
      <c r="N544">
        <v>7</v>
      </c>
      <c r="O544" t="s">
        <v>60</v>
      </c>
      <c r="P544">
        <v>2019</v>
      </c>
      <c r="Q544">
        <v>0.15029999999999999</v>
      </c>
      <c r="R544" s="10"/>
      <c r="S544">
        <f>ROUND(ТабCЕС[[#This Row],[Зелений Тариф ЕЦ]]+ТабCЕС[[#This Row],[Зелений Тариф ЕЦ]]*ТабCЕС[[#This Row],[% надбавки]],4)</f>
        <v>0.15029999999999999</v>
      </c>
      <c r="T544" s="8"/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</row>
    <row r="545" spans="3:52">
      <c r="C545" t="s">
        <v>58</v>
      </c>
      <c r="D545" t="s">
        <v>384</v>
      </c>
      <c r="F545" s="1" t="s">
        <v>1708</v>
      </c>
      <c r="G545" s="1" t="s">
        <v>1709</v>
      </c>
      <c r="H545" t="s">
        <v>198</v>
      </c>
      <c r="K545" t="s">
        <v>1710</v>
      </c>
      <c r="L545" s="7">
        <v>0.45900000000000002</v>
      </c>
      <c r="M545" s="8">
        <v>43664</v>
      </c>
      <c r="N545">
        <v>7</v>
      </c>
      <c r="O545" t="s">
        <v>60</v>
      </c>
      <c r="P545">
        <v>2019</v>
      </c>
      <c r="Q545">
        <v>0.15029999999999999</v>
      </c>
      <c r="R545" s="10"/>
      <c r="S545">
        <f>ROUND(ТабCЕС[[#This Row],[Зелений Тариф ЕЦ]]+ТабCЕС[[#This Row],[Зелений Тариф ЕЦ]]*ТабCЕС[[#This Row],[% надбавки]],4)</f>
        <v>0.15029999999999999</v>
      </c>
      <c r="T545" s="8"/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</row>
    <row r="546" spans="3:52">
      <c r="C546" t="s">
        <v>58</v>
      </c>
      <c r="D546" t="s">
        <v>384</v>
      </c>
      <c r="F546" s="1" t="s">
        <v>1711</v>
      </c>
      <c r="G546" s="1" t="s">
        <v>1712</v>
      </c>
      <c r="H546" t="s">
        <v>141</v>
      </c>
      <c r="K546" t="s">
        <v>1713</v>
      </c>
      <c r="L546" s="7">
        <v>0.60499999999999998</v>
      </c>
      <c r="M546" s="8">
        <v>43664</v>
      </c>
      <c r="N546">
        <v>7</v>
      </c>
      <c r="O546" t="s">
        <v>60</v>
      </c>
      <c r="P546">
        <v>2019</v>
      </c>
      <c r="Q546">
        <v>0.15029999999999999</v>
      </c>
      <c r="R546" s="10"/>
      <c r="S546">
        <f>ROUND(ТабCЕС[[#This Row],[Зелений Тариф ЕЦ]]+ТабCЕС[[#This Row],[Зелений Тариф ЕЦ]]*ТабCЕС[[#This Row],[% надбавки]],4)</f>
        <v>0.15029999999999999</v>
      </c>
      <c r="T546" s="8"/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4.3999999999999997E-2</v>
      </c>
    </row>
    <row r="547" spans="3:52" ht="25.5">
      <c r="C547" t="s">
        <v>58</v>
      </c>
      <c r="D547" t="s">
        <v>384</v>
      </c>
      <c r="F547" s="1" t="s">
        <v>1714</v>
      </c>
      <c r="G547" s="1" t="s">
        <v>1715</v>
      </c>
      <c r="H547" t="s">
        <v>98</v>
      </c>
      <c r="K547" t="s">
        <v>1716</v>
      </c>
      <c r="L547" s="7">
        <v>9.9489999999999998</v>
      </c>
      <c r="M547" s="8">
        <v>43664</v>
      </c>
      <c r="N547">
        <v>7</v>
      </c>
      <c r="O547" t="s">
        <v>60</v>
      </c>
      <c r="P547">
        <v>2019</v>
      </c>
      <c r="Q547">
        <v>0.15029999999999999</v>
      </c>
      <c r="R547" s="10"/>
      <c r="S547">
        <f>ROUND(ТабCЕС[[#This Row],[Зелений Тариф ЕЦ]]+ТабCЕС[[#This Row],[Зелений Тариф ЕЦ]]*ТабCЕС[[#This Row],[% надбавки]],4)</f>
        <v>0.15029999999999999</v>
      </c>
      <c r="T547" s="8"/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4.5999999999999999E-2</v>
      </c>
    </row>
    <row r="548" spans="3:52" ht="25.5">
      <c r="C548" t="s">
        <v>58</v>
      </c>
      <c r="D548" t="s">
        <v>384</v>
      </c>
      <c r="F548" s="1" t="s">
        <v>1714</v>
      </c>
      <c r="G548" s="1" t="s">
        <v>1717</v>
      </c>
      <c r="H548" t="s">
        <v>98</v>
      </c>
      <c r="K548" t="s">
        <v>1718</v>
      </c>
      <c r="L548" s="7">
        <v>9.9489999999999998</v>
      </c>
      <c r="M548" s="8">
        <v>43664</v>
      </c>
      <c r="N548">
        <v>7</v>
      </c>
      <c r="O548" t="s">
        <v>60</v>
      </c>
      <c r="P548">
        <v>2019</v>
      </c>
      <c r="Q548">
        <v>0.15029999999999999</v>
      </c>
      <c r="R548" s="10"/>
      <c r="S548">
        <f>ROUND(ТабCЕС[[#This Row],[Зелений Тариф ЕЦ]]+ТабCЕС[[#This Row],[Зелений Тариф ЕЦ]]*ТабCЕС[[#This Row],[% надбавки]],4)</f>
        <v>0.15029999999999999</v>
      </c>
      <c r="T548" s="8"/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</row>
    <row r="549" spans="3:52">
      <c r="C549" t="s">
        <v>58</v>
      </c>
      <c r="D549" t="s">
        <v>384</v>
      </c>
      <c r="F549" s="1" t="s">
        <v>1719</v>
      </c>
      <c r="G549" s="1" t="s">
        <v>1673</v>
      </c>
      <c r="H549" t="s">
        <v>101</v>
      </c>
      <c r="K549" t="s">
        <v>1720</v>
      </c>
      <c r="L549" s="7">
        <v>8.6110000000000007</v>
      </c>
      <c r="M549" s="8">
        <v>43664</v>
      </c>
      <c r="N549">
        <v>7</v>
      </c>
      <c r="O549" t="s">
        <v>60</v>
      </c>
      <c r="P549">
        <v>2019</v>
      </c>
      <c r="Q549">
        <v>0.15029999999999999</v>
      </c>
      <c r="R549" s="10"/>
      <c r="S549">
        <f>ROUND(ТабCЕС[[#This Row],[Зелений Тариф ЕЦ]]+ТабCЕС[[#This Row],[Зелений Тариф ЕЦ]]*ТабCЕС[[#This Row],[% надбавки]],4)</f>
        <v>0.15029999999999999</v>
      </c>
      <c r="T549" s="8"/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</row>
    <row r="550" spans="3:52">
      <c r="C550" t="s">
        <v>58</v>
      </c>
      <c r="D550" t="s">
        <v>384</v>
      </c>
      <c r="F550" s="1" t="s">
        <v>1721</v>
      </c>
      <c r="G550" s="1" t="s">
        <v>1722</v>
      </c>
      <c r="H550" t="s">
        <v>198</v>
      </c>
      <c r="K550" t="s">
        <v>1723</v>
      </c>
      <c r="L550" s="7">
        <v>2.7970000000000002</v>
      </c>
      <c r="M550" s="8">
        <v>43664</v>
      </c>
      <c r="N550">
        <v>7</v>
      </c>
      <c r="O550" t="s">
        <v>60</v>
      </c>
      <c r="P550">
        <v>2019</v>
      </c>
      <c r="Q550">
        <v>0.15029999999999999</v>
      </c>
      <c r="R550" s="10"/>
      <c r="S550">
        <f>ROUND(ТабCЕС[[#This Row],[Зелений Тариф ЕЦ]]+ТабCЕС[[#This Row],[Зелений Тариф ЕЦ]]*ТабCЕС[[#This Row],[% надбавки]],4)</f>
        <v>0.15029999999999999</v>
      </c>
      <c r="T550" s="8"/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</row>
    <row r="551" spans="3:52">
      <c r="C551" t="s">
        <v>58</v>
      </c>
      <c r="D551" t="s">
        <v>384</v>
      </c>
      <c r="F551" s="1" t="s">
        <v>1724</v>
      </c>
      <c r="G551" s="1" t="s">
        <v>1673</v>
      </c>
      <c r="H551" t="s">
        <v>98</v>
      </c>
      <c r="K551" t="s">
        <v>1725</v>
      </c>
      <c r="L551" s="7">
        <v>0.21099999999999999</v>
      </c>
      <c r="M551" s="8">
        <v>43664</v>
      </c>
      <c r="N551">
        <v>7</v>
      </c>
      <c r="O551" t="s">
        <v>60</v>
      </c>
      <c r="P551">
        <v>2019</v>
      </c>
      <c r="Q551">
        <v>0.16370000000000001</v>
      </c>
      <c r="R551" s="10"/>
      <c r="S551">
        <f>ROUND(ТабCЕС[[#This Row],[Зелений Тариф ЕЦ]]+ТабCЕС[[#This Row],[Зелений Тариф ЕЦ]]*ТабCЕС[[#This Row],[% надбавки]],4)</f>
        <v>0.16370000000000001</v>
      </c>
      <c r="T551" s="8"/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1.6E-2</v>
      </c>
    </row>
    <row r="552" spans="3:52">
      <c r="C552" t="s">
        <v>58</v>
      </c>
      <c r="D552" t="s">
        <v>384</v>
      </c>
      <c r="F552" s="1" t="s">
        <v>1726</v>
      </c>
      <c r="G552" s="1" t="s">
        <v>1727</v>
      </c>
      <c r="H552" t="s">
        <v>136</v>
      </c>
      <c r="K552" t="s">
        <v>1728</v>
      </c>
      <c r="L552" s="7">
        <v>1.03</v>
      </c>
      <c r="M552" s="8">
        <v>43664</v>
      </c>
      <c r="N552">
        <v>7</v>
      </c>
      <c r="O552" t="s">
        <v>60</v>
      </c>
      <c r="P552">
        <v>2019</v>
      </c>
      <c r="Q552">
        <v>0.16370000000000001</v>
      </c>
      <c r="R552" s="10"/>
      <c r="S552">
        <f>ROUND(ТабCЕС[[#This Row],[Зелений Тариф ЕЦ]]+ТабCЕС[[#This Row],[Зелений Тариф ЕЦ]]*ТабCЕС[[#This Row],[% надбавки]],4)</f>
        <v>0.16370000000000001</v>
      </c>
      <c r="T552" s="8"/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</row>
    <row r="553" spans="3:52">
      <c r="C553" t="s">
        <v>58</v>
      </c>
      <c r="D553" t="s">
        <v>384</v>
      </c>
      <c r="F553" s="1" t="s">
        <v>1729</v>
      </c>
      <c r="G553" s="1" t="s">
        <v>824</v>
      </c>
      <c r="H553" t="s">
        <v>1465</v>
      </c>
      <c r="K553" t="s">
        <v>1730</v>
      </c>
      <c r="L553" s="7">
        <v>0.223</v>
      </c>
      <c r="M553" s="8">
        <v>43664</v>
      </c>
      <c r="N553">
        <v>7</v>
      </c>
      <c r="O553" t="s">
        <v>60</v>
      </c>
      <c r="P553">
        <v>2019</v>
      </c>
      <c r="Q553">
        <v>0.16370000000000001</v>
      </c>
      <c r="R553" s="10"/>
      <c r="S553">
        <f>ROUND(ТабCЕС[[#This Row],[Зелений Тариф ЕЦ]]+ТабCЕС[[#This Row],[Зелений Тариф ЕЦ]]*ТабCЕС[[#This Row],[% надбавки]],4)</f>
        <v>0.16370000000000001</v>
      </c>
      <c r="T553" s="8"/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</row>
    <row r="554" spans="3:52">
      <c r="C554" t="s">
        <v>58</v>
      </c>
      <c r="D554" t="s">
        <v>384</v>
      </c>
      <c r="F554" s="1" t="s">
        <v>1731</v>
      </c>
      <c r="G554" s="1" t="s">
        <v>384</v>
      </c>
      <c r="H554" t="s">
        <v>101</v>
      </c>
      <c r="K554" t="s">
        <v>1732</v>
      </c>
      <c r="L554" s="7">
        <v>12.545</v>
      </c>
      <c r="M554" s="8">
        <v>43671</v>
      </c>
      <c r="N554">
        <v>7</v>
      </c>
      <c r="O554" t="s">
        <v>60</v>
      </c>
      <c r="P554">
        <v>2019</v>
      </c>
      <c r="Q554">
        <v>0.15029999999999999</v>
      </c>
      <c r="R554" s="10"/>
      <c r="S554">
        <f>ROUND(ТабCЕС[[#This Row],[Зелений Тариф ЕЦ]]+ТабCЕС[[#This Row],[Зелений Тариф ЕЦ]]*ТабCЕС[[#This Row],[% надбавки]],4)</f>
        <v>0.15029999999999999</v>
      </c>
      <c r="T554" s="8"/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</row>
    <row r="555" spans="3:52">
      <c r="C555" t="s">
        <v>58</v>
      </c>
      <c r="D555" t="s">
        <v>384</v>
      </c>
      <c r="F555" s="1" t="s">
        <v>1733</v>
      </c>
      <c r="G555" s="1" t="s">
        <v>384</v>
      </c>
      <c r="H555" t="s">
        <v>101</v>
      </c>
      <c r="K555" t="s">
        <v>1732</v>
      </c>
      <c r="L555" s="7">
        <v>18.248000000000001</v>
      </c>
      <c r="M555" s="8">
        <v>43671</v>
      </c>
      <c r="N555">
        <v>7</v>
      </c>
      <c r="O555" t="s">
        <v>60</v>
      </c>
      <c r="P555">
        <v>2019</v>
      </c>
      <c r="Q555">
        <v>0.15029999999999999</v>
      </c>
      <c r="R555" s="10"/>
      <c r="S555">
        <f>ROUND(ТабCЕС[[#This Row],[Зелений Тариф ЕЦ]]+ТабCЕС[[#This Row],[Зелений Тариф ЕЦ]]*ТабCЕС[[#This Row],[% надбавки]],4)</f>
        <v>0.15029999999999999</v>
      </c>
      <c r="T555" s="8"/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</row>
    <row r="556" spans="3:52">
      <c r="C556" t="s">
        <v>58</v>
      </c>
      <c r="D556" t="s">
        <v>384</v>
      </c>
      <c r="F556" s="1" t="s">
        <v>1734</v>
      </c>
      <c r="G556" s="1" t="s">
        <v>1735</v>
      </c>
      <c r="H556" t="s">
        <v>82</v>
      </c>
      <c r="K556" t="s">
        <v>1736</v>
      </c>
      <c r="L556" s="7">
        <v>13.369</v>
      </c>
      <c r="M556" s="8">
        <v>43671</v>
      </c>
      <c r="N556">
        <v>7</v>
      </c>
      <c r="O556" t="s">
        <v>60</v>
      </c>
      <c r="P556">
        <v>2019</v>
      </c>
      <c r="Q556">
        <v>0.15029999999999999</v>
      </c>
      <c r="R556" s="10"/>
      <c r="S556">
        <f>ROUND(ТабCЕС[[#This Row],[Зелений Тариф ЕЦ]]+ТабCЕС[[#This Row],[Зелений Тариф ЕЦ]]*ТабCЕС[[#This Row],[% надбавки]],4)</f>
        <v>0.15029999999999999</v>
      </c>
      <c r="T556" s="8"/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0.23499999999999999</v>
      </c>
      <c r="AZ556">
        <v>3.62</v>
      </c>
    </row>
    <row r="557" spans="3:52">
      <c r="C557" t="s">
        <v>58</v>
      </c>
      <c r="D557" t="s">
        <v>384</v>
      </c>
      <c r="F557" s="1" t="s">
        <v>1734</v>
      </c>
      <c r="G557" s="1" t="s">
        <v>1737</v>
      </c>
      <c r="H557" t="s">
        <v>82</v>
      </c>
      <c r="K557" t="s">
        <v>1738</v>
      </c>
      <c r="L557" s="7">
        <v>16.039000000000001</v>
      </c>
      <c r="M557" s="8">
        <v>43671</v>
      </c>
      <c r="N557">
        <v>7</v>
      </c>
      <c r="O557" t="s">
        <v>60</v>
      </c>
      <c r="P557">
        <v>2019</v>
      </c>
      <c r="Q557">
        <v>0.15029999999999999</v>
      </c>
      <c r="R557" s="10"/>
      <c r="S557">
        <f>ROUND(ТабCЕС[[#This Row],[Зелений Тариф ЕЦ]]+ТабCЕС[[#This Row],[Зелений Тариф ЕЦ]]*ТабCЕС[[#This Row],[% надбавки]],4)</f>
        <v>0.15029999999999999</v>
      </c>
      <c r="T557" s="8"/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</row>
    <row r="558" spans="3:52">
      <c r="C558" t="s">
        <v>58</v>
      </c>
      <c r="D558" t="s">
        <v>384</v>
      </c>
      <c r="F558" s="1" t="s">
        <v>1734</v>
      </c>
      <c r="G558" s="1" t="s">
        <v>1739</v>
      </c>
      <c r="H558" t="s">
        <v>82</v>
      </c>
      <c r="K558" t="s">
        <v>1740</v>
      </c>
      <c r="L558" s="7">
        <v>17.419</v>
      </c>
      <c r="M558" s="8">
        <v>43671</v>
      </c>
      <c r="N558">
        <v>7</v>
      </c>
      <c r="O558" t="s">
        <v>60</v>
      </c>
      <c r="P558">
        <v>2019</v>
      </c>
      <c r="Q558">
        <v>0.15029999999999999</v>
      </c>
      <c r="R558" s="10"/>
      <c r="S558">
        <f>ROUND(ТабCЕС[[#This Row],[Зелений Тариф ЕЦ]]+ТабCЕС[[#This Row],[Зелений Тариф ЕЦ]]*ТабCЕС[[#This Row],[% надбавки]],4)</f>
        <v>0.15029999999999999</v>
      </c>
      <c r="T558" s="8"/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</row>
    <row r="559" spans="3:52">
      <c r="C559" t="s">
        <v>58</v>
      </c>
      <c r="D559" t="s">
        <v>384</v>
      </c>
      <c r="F559" s="1" t="s">
        <v>1741</v>
      </c>
      <c r="G559" s="1" t="s">
        <v>384</v>
      </c>
      <c r="H559" t="s">
        <v>172</v>
      </c>
      <c r="K559" t="s">
        <v>1742</v>
      </c>
      <c r="L559" s="7">
        <v>2.9940000000000002</v>
      </c>
      <c r="M559" s="8">
        <v>43671</v>
      </c>
      <c r="N559">
        <v>7</v>
      </c>
      <c r="O559" t="s">
        <v>60</v>
      </c>
      <c r="P559">
        <v>2019</v>
      </c>
      <c r="Q559">
        <v>0.15029999999999999</v>
      </c>
      <c r="R559" s="10"/>
      <c r="S559">
        <f>ROUND(ТабCЕС[[#This Row],[Зелений Тариф ЕЦ]]+ТабCЕС[[#This Row],[Зелений Тариф ЕЦ]]*ТабCЕС[[#This Row],[% надбавки]],4)</f>
        <v>0.15029999999999999</v>
      </c>
      <c r="T559" s="8"/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</row>
    <row r="560" spans="3:52">
      <c r="C560" t="s">
        <v>58</v>
      </c>
      <c r="D560" t="s">
        <v>384</v>
      </c>
      <c r="F560" s="1" t="s">
        <v>1743</v>
      </c>
      <c r="G560" s="1" t="s">
        <v>384</v>
      </c>
      <c r="H560" t="s">
        <v>122</v>
      </c>
      <c r="K560" t="s">
        <v>1744</v>
      </c>
      <c r="L560" s="7">
        <v>3.6</v>
      </c>
      <c r="M560" s="8">
        <v>43671</v>
      </c>
      <c r="N560">
        <v>7</v>
      </c>
      <c r="O560" t="s">
        <v>60</v>
      </c>
      <c r="P560">
        <v>2019</v>
      </c>
      <c r="Q560">
        <v>0.15029999999999999</v>
      </c>
      <c r="R560" s="10"/>
      <c r="S560">
        <f>ROUND(ТабCЕС[[#This Row],[Зелений Тариф ЕЦ]]+ТабCЕС[[#This Row],[Зелений Тариф ЕЦ]]*ТабCЕС[[#This Row],[% надбавки]],4)</f>
        <v>0.15029999999999999</v>
      </c>
      <c r="T560" s="8"/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</row>
    <row r="561" spans="3:52">
      <c r="C561" t="s">
        <v>58</v>
      </c>
      <c r="D561" t="s">
        <v>384</v>
      </c>
      <c r="F561" s="1" t="s">
        <v>1745</v>
      </c>
      <c r="G561" s="1" t="s">
        <v>1746</v>
      </c>
      <c r="H561" t="s">
        <v>233</v>
      </c>
      <c r="K561" t="s">
        <v>1747</v>
      </c>
      <c r="L561" s="7">
        <v>0.38900000000000001</v>
      </c>
      <c r="M561" s="8">
        <v>43671</v>
      </c>
      <c r="N561">
        <v>7</v>
      </c>
      <c r="O561" t="s">
        <v>60</v>
      </c>
      <c r="P561">
        <v>2019</v>
      </c>
      <c r="Q561">
        <v>0.16370000000000001</v>
      </c>
      <c r="R561" s="10"/>
      <c r="S561">
        <f>ROUND(ТабCЕС[[#This Row],[Зелений Тариф ЕЦ]]+ТабCЕС[[#This Row],[Зелений Тариф ЕЦ]]*ТабCЕС[[#This Row],[% надбавки]],4)</f>
        <v>0.16370000000000001</v>
      </c>
      <c r="T561" s="8"/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1.4999999999999999E-2</v>
      </c>
    </row>
    <row r="562" spans="3:52">
      <c r="C562" t="s">
        <v>58</v>
      </c>
      <c r="D562" t="s">
        <v>384</v>
      </c>
      <c r="F562" s="1" t="s">
        <v>1748</v>
      </c>
      <c r="G562" s="1" t="s">
        <v>1749</v>
      </c>
      <c r="H562" t="s">
        <v>82</v>
      </c>
      <c r="K562" t="s">
        <v>1750</v>
      </c>
      <c r="L562" s="7">
        <v>13.382999999999999</v>
      </c>
      <c r="M562" s="8">
        <v>43676</v>
      </c>
      <c r="N562">
        <v>7</v>
      </c>
      <c r="O562" t="s">
        <v>60</v>
      </c>
      <c r="P562">
        <v>2019</v>
      </c>
      <c r="Q562">
        <v>0.15029999999999999</v>
      </c>
      <c r="R562" s="10">
        <v>0.05</v>
      </c>
      <c r="S562">
        <f>ROUND(ТабCЕС[[#This Row],[Зелений Тариф ЕЦ]]+ТабCЕС[[#This Row],[Зелений Тариф ЕЦ]]*ТабCЕС[[#This Row],[% надбавки]],4)</f>
        <v>0.1578</v>
      </c>
      <c r="T562" s="8">
        <v>43676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</row>
    <row r="563" spans="3:52">
      <c r="C563" t="s">
        <v>58</v>
      </c>
      <c r="D563" t="s">
        <v>384</v>
      </c>
      <c r="F563" s="1" t="s">
        <v>1751</v>
      </c>
      <c r="G563" s="1" t="s">
        <v>1752</v>
      </c>
      <c r="H563" t="s">
        <v>82</v>
      </c>
      <c r="K563" t="s">
        <v>1753</v>
      </c>
      <c r="L563" s="7">
        <v>15.497999999999999</v>
      </c>
      <c r="M563" s="8">
        <v>43676</v>
      </c>
      <c r="N563">
        <v>7</v>
      </c>
      <c r="O563" t="s">
        <v>60</v>
      </c>
      <c r="P563">
        <v>2019</v>
      </c>
      <c r="Q563">
        <v>0.15029999999999999</v>
      </c>
      <c r="R563" s="10">
        <v>0.05</v>
      </c>
      <c r="S563">
        <f>ROUND(ТабCЕС[[#This Row],[Зелений Тариф ЕЦ]]+ТабCЕС[[#This Row],[Зелений Тариф ЕЦ]]*ТабCЕС[[#This Row],[% надбавки]],4)</f>
        <v>0.1578</v>
      </c>
      <c r="T563" s="8">
        <v>43676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</row>
    <row r="564" spans="3:52">
      <c r="C564" t="s">
        <v>58</v>
      </c>
      <c r="D564" t="s">
        <v>384</v>
      </c>
      <c r="F564" s="1" t="s">
        <v>1754</v>
      </c>
      <c r="G564" s="1" t="s">
        <v>1755</v>
      </c>
      <c r="H564" t="s">
        <v>122</v>
      </c>
      <c r="K564" t="s">
        <v>1756</v>
      </c>
      <c r="L564" s="7">
        <v>21.669</v>
      </c>
      <c r="M564" s="8">
        <v>43676</v>
      </c>
      <c r="N564">
        <v>7</v>
      </c>
      <c r="O564" t="s">
        <v>60</v>
      </c>
      <c r="P564">
        <v>2019</v>
      </c>
      <c r="Q564">
        <v>0.15029999999999999</v>
      </c>
      <c r="R564" s="10">
        <v>0.05</v>
      </c>
      <c r="S564">
        <f>ROUND(ТабCЕС[[#This Row],[Зелений Тариф ЕЦ]]+ТабCЕС[[#This Row],[Зелений Тариф ЕЦ]]*ТабCЕС[[#This Row],[% надбавки]],4)</f>
        <v>0.1578</v>
      </c>
      <c r="T564" s="8">
        <v>43676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</row>
    <row r="565" spans="3:52">
      <c r="C565" t="s">
        <v>58</v>
      </c>
      <c r="D565" t="s">
        <v>384</v>
      </c>
      <c r="F565" s="1" t="s">
        <v>1757</v>
      </c>
      <c r="G565" s="1" t="s">
        <v>1758</v>
      </c>
      <c r="H565" t="s">
        <v>82</v>
      </c>
      <c r="K565" t="s">
        <v>1759</v>
      </c>
      <c r="L565" s="7">
        <v>9.0990000000000002</v>
      </c>
      <c r="M565" s="8">
        <v>43676</v>
      </c>
      <c r="N565">
        <v>7</v>
      </c>
      <c r="O565" t="s">
        <v>60</v>
      </c>
      <c r="P565">
        <v>2019</v>
      </c>
      <c r="Q565">
        <v>0.15029999999999999</v>
      </c>
      <c r="R565" s="10">
        <v>0.05</v>
      </c>
      <c r="S565">
        <f>ROUND(ТабCЕС[[#This Row],[Зелений Тариф ЕЦ]]+ТабCЕС[[#This Row],[Зелений Тариф ЕЦ]]*ТабCЕС[[#This Row],[% надбавки]],4)</f>
        <v>0.1578</v>
      </c>
      <c r="T565" s="8">
        <v>43683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</row>
    <row r="566" spans="3:52">
      <c r="C566" t="s">
        <v>58</v>
      </c>
      <c r="D566" t="s">
        <v>384</v>
      </c>
      <c r="F566" s="1" t="s">
        <v>1760</v>
      </c>
      <c r="G566" s="1" t="s">
        <v>1761</v>
      </c>
      <c r="H566" t="s">
        <v>172</v>
      </c>
      <c r="K566" t="s">
        <v>1762</v>
      </c>
      <c r="L566" s="7">
        <v>4.7629999999999999</v>
      </c>
      <c r="M566" s="8">
        <v>43676</v>
      </c>
      <c r="N566">
        <v>7</v>
      </c>
      <c r="O566" t="s">
        <v>60</v>
      </c>
      <c r="P566">
        <v>2019</v>
      </c>
      <c r="Q566">
        <v>0.15029999999999999</v>
      </c>
      <c r="R566" s="10"/>
      <c r="S566">
        <f>ROUND(ТабCЕС[[#This Row],[Зелений Тариф ЕЦ]]+ТабCЕС[[#This Row],[Зелений Тариф ЕЦ]]*ТабCЕС[[#This Row],[% надбавки]],4)</f>
        <v>0.15029999999999999</v>
      </c>
      <c r="T566" s="8"/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0.57199999999999995</v>
      </c>
    </row>
    <row r="567" spans="3:52">
      <c r="C567" t="s">
        <v>58</v>
      </c>
      <c r="D567" t="s">
        <v>384</v>
      </c>
      <c r="F567" s="1" t="s">
        <v>1763</v>
      </c>
      <c r="G567" s="1" t="s">
        <v>1764</v>
      </c>
      <c r="H567" t="s">
        <v>82</v>
      </c>
      <c r="K567" t="s">
        <v>1765</v>
      </c>
      <c r="L567" s="7">
        <v>7.4989999999999997</v>
      </c>
      <c r="M567" s="8">
        <v>43676</v>
      </c>
      <c r="N567">
        <v>7</v>
      </c>
      <c r="O567" t="s">
        <v>60</v>
      </c>
      <c r="P567">
        <v>2019</v>
      </c>
      <c r="Q567">
        <v>0.15029999999999999</v>
      </c>
      <c r="R567" s="10">
        <v>0.05</v>
      </c>
      <c r="S567">
        <f>ROUND(ТабCЕС[[#This Row],[Зелений Тариф ЕЦ]]+ТабCЕС[[#This Row],[Зелений Тариф ЕЦ]]*ТабCЕС[[#This Row],[% надбавки]],4)</f>
        <v>0.1578</v>
      </c>
      <c r="T567" s="8">
        <v>43676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</row>
    <row r="568" spans="3:52">
      <c r="C568" t="s">
        <v>58</v>
      </c>
      <c r="D568" t="s">
        <v>384</v>
      </c>
      <c r="F568" s="1" t="s">
        <v>1766</v>
      </c>
      <c r="G568" s="1" t="s">
        <v>1767</v>
      </c>
      <c r="H568" t="s">
        <v>62</v>
      </c>
      <c r="K568" t="s">
        <v>1768</v>
      </c>
      <c r="L568" s="7">
        <v>4.9800000000000004</v>
      </c>
      <c r="M568" s="8">
        <v>43676</v>
      </c>
      <c r="N568">
        <v>7</v>
      </c>
      <c r="O568" t="s">
        <v>60</v>
      </c>
      <c r="P568">
        <v>2019</v>
      </c>
      <c r="Q568">
        <v>0.15029999999999999</v>
      </c>
      <c r="R568" s="10"/>
      <c r="S568">
        <f>ROUND(ТабCЕС[[#This Row],[Зелений Тариф ЕЦ]]+ТабCЕС[[#This Row],[Зелений Тариф ЕЦ]]*ТабCЕС[[#This Row],[% надбавки]],4)</f>
        <v>0.15029999999999999</v>
      </c>
      <c r="T568" s="8"/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</row>
    <row r="569" spans="3:52">
      <c r="C569" t="s">
        <v>58</v>
      </c>
      <c r="D569" t="s">
        <v>384</v>
      </c>
      <c r="F569" s="1" t="s">
        <v>1766</v>
      </c>
      <c r="G569" s="1" t="s">
        <v>1769</v>
      </c>
      <c r="H569" t="s">
        <v>62</v>
      </c>
      <c r="K569" t="s">
        <v>1768</v>
      </c>
      <c r="L569" s="7">
        <v>4.9800000000000004</v>
      </c>
      <c r="M569" s="8">
        <v>43676</v>
      </c>
      <c r="N569">
        <v>7</v>
      </c>
      <c r="O569" t="s">
        <v>60</v>
      </c>
      <c r="P569">
        <v>2019</v>
      </c>
      <c r="Q569">
        <v>0.15029999999999999</v>
      </c>
      <c r="R569" s="10"/>
      <c r="S569">
        <f>ROUND(ТабCЕС[[#This Row],[Зелений Тариф ЕЦ]]+ТабCЕС[[#This Row],[Зелений Тариф ЕЦ]]*ТабCЕС[[#This Row],[% надбавки]],4)</f>
        <v>0.15029999999999999</v>
      </c>
      <c r="T569" s="8"/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</row>
    <row r="570" spans="3:52">
      <c r="C570" t="s">
        <v>58</v>
      </c>
      <c r="D570" t="s">
        <v>384</v>
      </c>
      <c r="F570" s="1" t="s">
        <v>1770</v>
      </c>
      <c r="G570" s="1" t="s">
        <v>1771</v>
      </c>
      <c r="H570" t="s">
        <v>82</v>
      </c>
      <c r="K570" t="s">
        <v>1772</v>
      </c>
      <c r="L570" s="7">
        <v>17.358000000000001</v>
      </c>
      <c r="M570" s="8">
        <v>43683</v>
      </c>
      <c r="N570">
        <v>8</v>
      </c>
      <c r="O570" t="s">
        <v>60</v>
      </c>
      <c r="P570">
        <v>2019</v>
      </c>
      <c r="Q570">
        <v>0.15029999999999999</v>
      </c>
      <c r="R570" s="10">
        <v>0.05</v>
      </c>
      <c r="S570">
        <f>ROUND(ТабCЕС[[#This Row],[Зелений Тариф ЕЦ]]+ТабCЕС[[#This Row],[Зелений Тариф ЕЦ]]*ТабCЕС[[#This Row],[% надбавки]],4)</f>
        <v>0.1578</v>
      </c>
      <c r="T570" s="8">
        <v>43683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</row>
    <row r="571" spans="3:52" ht="25.5">
      <c r="C571" t="s">
        <v>58</v>
      </c>
      <c r="D571" t="s">
        <v>384</v>
      </c>
      <c r="F571" s="1" t="s">
        <v>1773</v>
      </c>
      <c r="G571" s="1" t="s">
        <v>1774</v>
      </c>
      <c r="H571" t="s">
        <v>98</v>
      </c>
      <c r="I571" t="s">
        <v>458</v>
      </c>
      <c r="K571" t="s">
        <v>1775</v>
      </c>
      <c r="L571" s="7">
        <v>13.023</v>
      </c>
      <c r="M571" s="8">
        <v>43683</v>
      </c>
      <c r="N571">
        <v>8</v>
      </c>
      <c r="O571" t="s">
        <v>60</v>
      </c>
      <c r="P571">
        <v>2019</v>
      </c>
      <c r="Q571">
        <v>0.15029999999999999</v>
      </c>
      <c r="R571" s="10"/>
      <c r="S571">
        <f>ROUND(ТабCЕС[[#This Row],[Зелений Тариф ЕЦ]]+ТабCЕС[[#This Row],[Зелений Тариф ЕЦ]]*ТабCЕС[[#This Row],[% надбавки]],4)</f>
        <v>0.15029999999999999</v>
      </c>
      <c r="T571" s="8"/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</row>
    <row r="572" spans="3:52" ht="25.5">
      <c r="C572" t="s">
        <v>58</v>
      </c>
      <c r="D572" t="s">
        <v>384</v>
      </c>
      <c r="F572" s="1" t="s">
        <v>1776</v>
      </c>
      <c r="G572" s="1" t="s">
        <v>1777</v>
      </c>
      <c r="H572" t="s">
        <v>98</v>
      </c>
      <c r="I572" t="s">
        <v>458</v>
      </c>
      <c r="K572" t="s">
        <v>1775</v>
      </c>
      <c r="L572" s="7">
        <v>12.831</v>
      </c>
      <c r="M572" s="8">
        <v>43683</v>
      </c>
      <c r="N572">
        <v>8</v>
      </c>
      <c r="O572" t="s">
        <v>60</v>
      </c>
      <c r="P572">
        <v>2019</v>
      </c>
      <c r="Q572">
        <v>0.15029999999999999</v>
      </c>
      <c r="R572" s="10"/>
      <c r="S572">
        <f>ROUND(ТабCЕС[[#This Row],[Зелений Тариф ЕЦ]]+ТабCЕС[[#This Row],[Зелений Тариф ЕЦ]]*ТабCЕС[[#This Row],[% надбавки]],4)</f>
        <v>0.15029999999999999</v>
      </c>
      <c r="T572" s="8"/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</row>
    <row r="573" spans="3:52">
      <c r="C573" t="s">
        <v>58</v>
      </c>
      <c r="D573" t="s">
        <v>384</v>
      </c>
      <c r="F573" s="1" t="s">
        <v>1778</v>
      </c>
      <c r="G573" s="1" t="s">
        <v>384</v>
      </c>
      <c r="H573" t="s">
        <v>101</v>
      </c>
      <c r="I573" t="s">
        <v>1779</v>
      </c>
      <c r="K573" t="s">
        <v>1780</v>
      </c>
      <c r="L573" s="7">
        <v>9.9789999999999992</v>
      </c>
      <c r="M573" s="8">
        <v>43683</v>
      </c>
      <c r="N573">
        <v>8</v>
      </c>
      <c r="O573" t="s">
        <v>60</v>
      </c>
      <c r="P573">
        <v>2019</v>
      </c>
      <c r="Q573">
        <v>0.15029999999999999</v>
      </c>
      <c r="R573" s="10">
        <v>0.05</v>
      </c>
      <c r="S573">
        <f>ROUND(ТабCЕС[[#This Row],[Зелений Тариф ЕЦ]]+ТабCЕС[[#This Row],[Зелений Тариф ЕЦ]]*ТабCЕС[[#This Row],[% надбавки]],4)</f>
        <v>0.1578</v>
      </c>
      <c r="T573" s="8">
        <v>43690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</row>
    <row r="574" spans="3:52">
      <c r="C574" t="s">
        <v>58</v>
      </c>
      <c r="D574" t="s">
        <v>384</v>
      </c>
      <c r="F574" s="1" t="s">
        <v>1781</v>
      </c>
      <c r="G574" s="1" t="s">
        <v>384</v>
      </c>
      <c r="H574" t="s">
        <v>101</v>
      </c>
      <c r="I574" t="s">
        <v>1779</v>
      </c>
      <c r="K574" t="s">
        <v>1780</v>
      </c>
      <c r="L574" s="7">
        <v>9.9789999999999992</v>
      </c>
      <c r="M574" s="8">
        <v>43683</v>
      </c>
      <c r="N574">
        <v>8</v>
      </c>
      <c r="O574" t="s">
        <v>60</v>
      </c>
      <c r="P574">
        <v>2019</v>
      </c>
      <c r="Q574">
        <v>0.15029999999999999</v>
      </c>
      <c r="R574" s="10">
        <v>0.05</v>
      </c>
      <c r="S574">
        <f>ROUND(ТабCЕС[[#This Row],[Зелений Тариф ЕЦ]]+ТабCЕС[[#This Row],[Зелений Тариф ЕЦ]]*ТабCЕС[[#This Row],[% надбавки]],4)</f>
        <v>0.1578</v>
      </c>
      <c r="T574" s="8">
        <v>43707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</row>
    <row r="575" spans="3:52">
      <c r="C575" t="s">
        <v>58</v>
      </c>
      <c r="D575" t="s">
        <v>384</v>
      </c>
      <c r="F575" s="1" t="s">
        <v>1782</v>
      </c>
      <c r="G575" s="1" t="s">
        <v>384</v>
      </c>
      <c r="H575" t="s">
        <v>69</v>
      </c>
      <c r="I575" t="s">
        <v>1783</v>
      </c>
      <c r="K575" t="s">
        <v>1784</v>
      </c>
      <c r="L575" s="7">
        <v>0.112</v>
      </c>
      <c r="M575" s="8">
        <v>43683</v>
      </c>
      <c r="N575">
        <v>8</v>
      </c>
      <c r="O575" t="s">
        <v>60</v>
      </c>
      <c r="P575">
        <v>2019</v>
      </c>
      <c r="Q575">
        <v>0.16370000000000001</v>
      </c>
      <c r="R575" s="10"/>
      <c r="S575">
        <f>ROUND(ТабCЕС[[#This Row],[Зелений Тариф ЕЦ]]+ТабCЕС[[#This Row],[Зелений Тариф ЕЦ]]*ТабCЕС[[#This Row],[% надбавки]],4)</f>
        <v>0.16370000000000001</v>
      </c>
      <c r="T575" s="8"/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</row>
    <row r="576" spans="3:52">
      <c r="C576" t="s">
        <v>58</v>
      </c>
      <c r="D576" t="s">
        <v>384</v>
      </c>
      <c r="F576" s="1" t="s">
        <v>1785</v>
      </c>
      <c r="G576" s="1" t="s">
        <v>1786</v>
      </c>
      <c r="H576" t="s">
        <v>65</v>
      </c>
      <c r="I576" t="s">
        <v>1787</v>
      </c>
      <c r="K576" t="s">
        <v>1788</v>
      </c>
      <c r="L576" s="7">
        <v>2.7589999999999999</v>
      </c>
      <c r="M576" s="8">
        <v>43692</v>
      </c>
      <c r="N576">
        <v>8</v>
      </c>
      <c r="O576" t="s">
        <v>60</v>
      </c>
      <c r="P576">
        <v>2019</v>
      </c>
      <c r="Q576">
        <v>0.15029999999999999</v>
      </c>
      <c r="R576" s="10"/>
      <c r="S576">
        <f>ROUND(ТабCЕС[[#This Row],[Зелений Тариф ЕЦ]]+ТабCЕС[[#This Row],[Зелений Тариф ЕЦ]]*ТабCЕС[[#This Row],[% надбавки]],4)</f>
        <v>0.15029999999999999</v>
      </c>
      <c r="T576" s="8"/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0.34899999999999998</v>
      </c>
    </row>
    <row r="577" spans="3:52">
      <c r="C577" t="s">
        <v>58</v>
      </c>
      <c r="D577" t="s">
        <v>384</v>
      </c>
      <c r="F577" s="1" t="s">
        <v>1789</v>
      </c>
      <c r="G577" s="1" t="s">
        <v>384</v>
      </c>
      <c r="H577" t="s">
        <v>321</v>
      </c>
      <c r="I577" t="s">
        <v>1790</v>
      </c>
      <c r="K577" t="s">
        <v>1791</v>
      </c>
      <c r="L577" s="7">
        <v>0.60299999999999998</v>
      </c>
      <c r="M577" s="8">
        <v>43692</v>
      </c>
      <c r="N577">
        <v>8</v>
      </c>
      <c r="O577" t="s">
        <v>60</v>
      </c>
      <c r="P577">
        <v>2019</v>
      </c>
      <c r="Q577">
        <v>0.15029999999999999</v>
      </c>
      <c r="R577" s="10"/>
      <c r="S577">
        <f>ROUND(ТабCЕС[[#This Row],[Зелений Тариф ЕЦ]]+ТабCЕС[[#This Row],[Зелений Тариф ЕЦ]]*ТабCЕС[[#This Row],[% надбавки]],4)</f>
        <v>0.15029999999999999</v>
      </c>
      <c r="T577" s="8"/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</row>
    <row r="578" spans="3:52">
      <c r="C578" t="s">
        <v>58</v>
      </c>
      <c r="D578" t="s">
        <v>384</v>
      </c>
      <c r="F578" s="1" t="s">
        <v>1792</v>
      </c>
      <c r="G578" s="1" t="s">
        <v>384</v>
      </c>
      <c r="H578" t="s">
        <v>101</v>
      </c>
      <c r="I578" t="s">
        <v>1322</v>
      </c>
      <c r="K578" t="s">
        <v>1793</v>
      </c>
      <c r="L578" s="7">
        <v>0.66600000000000004</v>
      </c>
      <c r="M578" s="8">
        <v>43692</v>
      </c>
      <c r="N578">
        <v>8</v>
      </c>
      <c r="O578" t="s">
        <v>60</v>
      </c>
      <c r="P578">
        <v>2019</v>
      </c>
      <c r="Q578">
        <v>0.16370000000000001</v>
      </c>
      <c r="R578" s="10"/>
      <c r="S578">
        <f>ROUND(ТабCЕС[[#This Row],[Зелений Тариф ЕЦ]]+ТабCЕС[[#This Row],[Зелений Тариф ЕЦ]]*ТабCЕС[[#This Row],[% надбавки]],4)</f>
        <v>0.16370000000000001</v>
      </c>
      <c r="T578" s="8"/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</row>
    <row r="579" spans="3:52">
      <c r="C579" t="s">
        <v>58</v>
      </c>
      <c r="D579" t="s">
        <v>384</v>
      </c>
      <c r="F579" s="1" t="s">
        <v>1794</v>
      </c>
      <c r="G579" s="1" t="s">
        <v>384</v>
      </c>
      <c r="H579" t="s">
        <v>82</v>
      </c>
      <c r="I579" t="s">
        <v>624</v>
      </c>
      <c r="K579" t="s">
        <v>1795</v>
      </c>
      <c r="L579" s="7">
        <v>1.38</v>
      </c>
      <c r="M579" s="8">
        <v>43697</v>
      </c>
      <c r="N579">
        <v>8</v>
      </c>
      <c r="O579" t="s">
        <v>60</v>
      </c>
      <c r="P579">
        <v>2019</v>
      </c>
      <c r="Q579">
        <v>0.15029999999999999</v>
      </c>
      <c r="R579" s="10"/>
      <c r="S579">
        <f>ROUND(ТабCЕС[[#This Row],[Зелений Тариф ЕЦ]]+ТабCЕС[[#This Row],[Зелений Тариф ЕЦ]]*ТабCЕС[[#This Row],[% надбавки]],4)</f>
        <v>0.15029999999999999</v>
      </c>
      <c r="T579" s="8"/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</row>
    <row r="580" spans="3:52">
      <c r="C580" t="s">
        <v>58</v>
      </c>
      <c r="D580" t="s">
        <v>384</v>
      </c>
      <c r="F580" s="1" t="s">
        <v>1796</v>
      </c>
      <c r="G580" s="1" t="s">
        <v>1797</v>
      </c>
      <c r="H580" t="s">
        <v>62</v>
      </c>
      <c r="I580" t="s">
        <v>1798</v>
      </c>
      <c r="K580" t="s">
        <v>1799</v>
      </c>
      <c r="L580" s="7">
        <v>2.8420000000000001</v>
      </c>
      <c r="M580" s="8">
        <v>43697</v>
      </c>
      <c r="N580">
        <v>8</v>
      </c>
      <c r="O580" t="s">
        <v>60</v>
      </c>
      <c r="P580">
        <v>2019</v>
      </c>
      <c r="Q580">
        <v>0.15029999999999999</v>
      </c>
      <c r="R580" s="10"/>
      <c r="S580">
        <f>ROUND(ТабCЕС[[#This Row],[Зелений Тариф ЕЦ]]+ТабCЕС[[#This Row],[Зелений Тариф ЕЦ]]*ТабCЕС[[#This Row],[% надбавки]],4)</f>
        <v>0.15029999999999999</v>
      </c>
      <c r="T580" s="8"/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</row>
    <row r="581" spans="3:52">
      <c r="C581" t="s">
        <v>58</v>
      </c>
      <c r="D581" t="s">
        <v>384</v>
      </c>
      <c r="F581" s="1" t="s">
        <v>1800</v>
      </c>
      <c r="G581" s="1" t="s">
        <v>1801</v>
      </c>
      <c r="H581" t="s">
        <v>176</v>
      </c>
      <c r="I581" t="s">
        <v>1802</v>
      </c>
      <c r="K581" t="s">
        <v>1803</v>
      </c>
      <c r="L581" s="7">
        <v>5.8920000000000003</v>
      </c>
      <c r="M581" s="8">
        <v>43697</v>
      </c>
      <c r="N581">
        <v>8</v>
      </c>
      <c r="O581" t="s">
        <v>60</v>
      </c>
      <c r="P581">
        <v>2019</v>
      </c>
      <c r="Q581">
        <v>0.15029999999999999</v>
      </c>
      <c r="R581" s="10"/>
      <c r="S581">
        <f>ROUND(ТабCЕС[[#This Row],[Зелений Тариф ЕЦ]]+ТабCЕС[[#This Row],[Зелений Тариф ЕЦ]]*ТабCЕС[[#This Row],[% надбавки]],4)</f>
        <v>0.15029999999999999</v>
      </c>
      <c r="T581" s="8"/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</row>
    <row r="582" spans="3:52">
      <c r="C582" t="s">
        <v>58</v>
      </c>
      <c r="D582" t="s">
        <v>384</v>
      </c>
      <c r="F582" s="1" t="s">
        <v>1804</v>
      </c>
      <c r="G582" s="1" t="s">
        <v>1805</v>
      </c>
      <c r="H582" t="s">
        <v>122</v>
      </c>
      <c r="I582" t="s">
        <v>1806</v>
      </c>
      <c r="K582" t="s">
        <v>1807</v>
      </c>
      <c r="L582" s="7">
        <v>4.5149999999999997</v>
      </c>
      <c r="M582" s="8">
        <v>43697</v>
      </c>
      <c r="N582">
        <v>8</v>
      </c>
      <c r="O582" t="s">
        <v>60</v>
      </c>
      <c r="P582">
        <v>2019</v>
      </c>
      <c r="Q582">
        <v>0.15029999999999999</v>
      </c>
      <c r="R582" s="10"/>
      <c r="S582">
        <f>ROUND(ТабCЕС[[#This Row],[Зелений Тариф ЕЦ]]+ТабCЕС[[#This Row],[Зелений Тариф ЕЦ]]*ТабCЕС[[#This Row],[% надбавки]],4)</f>
        <v>0.15029999999999999</v>
      </c>
      <c r="T582" s="8"/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</row>
    <row r="583" spans="3:52">
      <c r="C583" t="s">
        <v>58</v>
      </c>
      <c r="D583" t="s">
        <v>384</v>
      </c>
      <c r="F583" s="1" t="s">
        <v>1808</v>
      </c>
      <c r="G583" s="1" t="s">
        <v>384</v>
      </c>
      <c r="H583" t="s">
        <v>141</v>
      </c>
      <c r="I583" t="s">
        <v>1809</v>
      </c>
      <c r="K583" t="s">
        <v>1810</v>
      </c>
      <c r="L583" s="7">
        <v>2.4E-2</v>
      </c>
      <c r="M583" s="8">
        <v>43697</v>
      </c>
      <c r="N583">
        <v>8</v>
      </c>
      <c r="O583" t="s">
        <v>60</v>
      </c>
      <c r="P583">
        <v>2019</v>
      </c>
      <c r="Q583">
        <v>0.16370000000000001</v>
      </c>
      <c r="R583" s="10"/>
      <c r="S583">
        <f>ROUND(ТабCЕС[[#This Row],[Зелений Тариф ЕЦ]]+ТабCЕС[[#This Row],[Зелений Тариф ЕЦ]]*ТабCЕС[[#This Row],[% надбавки]],4)</f>
        <v>0.16370000000000001</v>
      </c>
      <c r="T583" s="8"/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</row>
    <row r="584" spans="3:52">
      <c r="C584" t="s">
        <v>58</v>
      </c>
      <c r="D584" t="s">
        <v>384</v>
      </c>
      <c r="F584" s="1" t="s">
        <v>1811</v>
      </c>
      <c r="G584" s="1" t="s">
        <v>384</v>
      </c>
      <c r="H584" t="s">
        <v>69</v>
      </c>
      <c r="K584" t="s">
        <v>1812</v>
      </c>
      <c r="L584" s="7">
        <v>0.05</v>
      </c>
      <c r="M584" s="8">
        <v>43697</v>
      </c>
      <c r="N584">
        <v>8</v>
      </c>
      <c r="O584" t="s">
        <v>60</v>
      </c>
      <c r="P584">
        <v>2019</v>
      </c>
      <c r="Q584">
        <v>0.16370000000000001</v>
      </c>
      <c r="R584" s="10"/>
      <c r="S584">
        <f>ROUND(ТабCЕС[[#This Row],[Зелений Тариф ЕЦ]]+ТабCЕС[[#This Row],[Зелений Тариф ЕЦ]]*ТабCЕС[[#This Row],[% надбавки]],4)</f>
        <v>0.16370000000000001</v>
      </c>
      <c r="T584" s="8"/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</row>
    <row r="585" spans="3:52">
      <c r="C585" t="s">
        <v>58</v>
      </c>
      <c r="D585" t="s">
        <v>384</v>
      </c>
      <c r="F585" s="1" t="s">
        <v>1813</v>
      </c>
      <c r="G585" s="1" t="s">
        <v>384</v>
      </c>
      <c r="H585" t="s">
        <v>101</v>
      </c>
      <c r="K585" t="s">
        <v>1814</v>
      </c>
      <c r="L585" s="7">
        <v>0.57899999999999996</v>
      </c>
      <c r="M585" s="8">
        <v>43697</v>
      </c>
      <c r="N585">
        <v>8</v>
      </c>
      <c r="O585" t="s">
        <v>60</v>
      </c>
      <c r="P585">
        <v>2019</v>
      </c>
      <c r="Q585">
        <v>0.16370000000000001</v>
      </c>
      <c r="R585" s="10"/>
      <c r="S585">
        <f>ROUND(ТабCЕС[[#This Row],[Зелений Тариф ЕЦ]]+ТабCЕС[[#This Row],[Зелений Тариф ЕЦ]]*ТабCЕС[[#This Row],[% надбавки]],4)</f>
        <v>0.16370000000000001</v>
      </c>
      <c r="T585" s="8"/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</row>
    <row r="586" spans="3:52">
      <c r="C586" t="s">
        <v>58</v>
      </c>
      <c r="D586" t="s">
        <v>384</v>
      </c>
      <c r="F586" s="1" t="s">
        <v>1815</v>
      </c>
      <c r="G586" s="1" t="s">
        <v>384</v>
      </c>
      <c r="H586" t="s">
        <v>69</v>
      </c>
      <c r="I586" t="s">
        <v>105</v>
      </c>
      <c r="K586" t="s">
        <v>1816</v>
      </c>
      <c r="L586" s="7">
        <v>0.13300000000000001</v>
      </c>
      <c r="M586" s="8">
        <v>43697</v>
      </c>
      <c r="N586">
        <v>8</v>
      </c>
      <c r="O586" t="s">
        <v>60</v>
      </c>
      <c r="P586">
        <v>2019</v>
      </c>
      <c r="Q586">
        <v>0.16370000000000001</v>
      </c>
      <c r="R586" s="10"/>
      <c r="S586">
        <f>ROUND(ТабCЕС[[#This Row],[Зелений Тариф ЕЦ]]+ТабCЕС[[#This Row],[Зелений Тариф ЕЦ]]*ТабCЕС[[#This Row],[% надбавки]],4)</f>
        <v>0.16370000000000001</v>
      </c>
      <c r="T586" s="8"/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</row>
    <row r="587" spans="3:52">
      <c r="C587" t="s">
        <v>58</v>
      </c>
      <c r="D587" t="s">
        <v>384</v>
      </c>
      <c r="F587" s="1" t="s">
        <v>1817</v>
      </c>
      <c r="G587" s="1" t="s">
        <v>384</v>
      </c>
      <c r="H587" t="s">
        <v>69</v>
      </c>
      <c r="K587" t="s">
        <v>1818</v>
      </c>
      <c r="L587" s="7">
        <v>0.13300000000000001</v>
      </c>
      <c r="M587" s="8">
        <v>43697</v>
      </c>
      <c r="N587">
        <v>8</v>
      </c>
      <c r="O587" t="s">
        <v>60</v>
      </c>
      <c r="P587">
        <v>2019</v>
      </c>
      <c r="Q587">
        <v>0.16370000000000001</v>
      </c>
      <c r="R587" s="10"/>
      <c r="S587">
        <f>ROUND(ТабCЕС[[#This Row],[Зелений Тариф ЕЦ]]+ТабCЕС[[#This Row],[Зелений Тариф ЕЦ]]*ТабCЕС[[#This Row],[% надбавки]],4)</f>
        <v>0.16370000000000001</v>
      </c>
      <c r="T587" s="8"/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</row>
    <row r="588" spans="3:52">
      <c r="C588" t="s">
        <v>58</v>
      </c>
      <c r="D588" t="s">
        <v>384</v>
      </c>
      <c r="F588" s="1" t="s">
        <v>1819</v>
      </c>
      <c r="G588" s="1" t="s">
        <v>384</v>
      </c>
      <c r="H588" t="s">
        <v>73</v>
      </c>
      <c r="K588" t="s">
        <v>1820</v>
      </c>
      <c r="L588" s="7">
        <v>1.8049999999999999</v>
      </c>
      <c r="M588" s="8">
        <v>43697</v>
      </c>
      <c r="N588">
        <v>8</v>
      </c>
      <c r="O588" t="s">
        <v>60</v>
      </c>
      <c r="P588">
        <v>2019</v>
      </c>
      <c r="Q588">
        <v>0.16370000000000001</v>
      </c>
      <c r="R588" s="10"/>
      <c r="S588">
        <f>ROUND(ТабCЕС[[#This Row],[Зелений Тариф ЕЦ]]+ТабCЕС[[#This Row],[Зелений Тариф ЕЦ]]*ТабCЕС[[#This Row],[% надбавки]],4)</f>
        <v>0.16370000000000001</v>
      </c>
      <c r="T588" s="8"/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</row>
    <row r="589" spans="3:52">
      <c r="C589" t="s">
        <v>58</v>
      </c>
      <c r="D589" t="s">
        <v>384</v>
      </c>
      <c r="F589" s="1" t="s">
        <v>1821</v>
      </c>
      <c r="G589" s="1" t="s">
        <v>683</v>
      </c>
      <c r="H589" t="s">
        <v>172</v>
      </c>
      <c r="K589" t="s">
        <v>1822</v>
      </c>
      <c r="L589" s="7">
        <v>10.401999999999999</v>
      </c>
      <c r="M589" s="8">
        <v>43700</v>
      </c>
      <c r="N589">
        <v>8</v>
      </c>
      <c r="O589" t="s">
        <v>60</v>
      </c>
      <c r="P589">
        <v>2019</v>
      </c>
      <c r="Q589">
        <v>0.15029999999999999</v>
      </c>
      <c r="R589" s="10">
        <v>0.05</v>
      </c>
      <c r="S589">
        <f>ROUND(ТабCЕС[[#This Row],[Зелений Тариф ЕЦ]]+ТабCЕС[[#This Row],[Зелений Тариф ЕЦ]]*ТабCЕС[[#This Row],[% надбавки]],4)</f>
        <v>0.1578</v>
      </c>
      <c r="T589" s="8">
        <v>43700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</row>
    <row r="590" spans="3:52">
      <c r="C590" t="s">
        <v>58</v>
      </c>
      <c r="D590" t="s">
        <v>384</v>
      </c>
      <c r="F590" s="1" t="s">
        <v>1823</v>
      </c>
      <c r="G590" s="1" t="s">
        <v>384</v>
      </c>
      <c r="H590" t="s">
        <v>172</v>
      </c>
      <c r="K590" t="s">
        <v>1824</v>
      </c>
      <c r="L590" s="7">
        <v>3.2080000000000002</v>
      </c>
      <c r="M590" s="8">
        <v>43700</v>
      </c>
      <c r="N590">
        <v>8</v>
      </c>
      <c r="O590" t="s">
        <v>60</v>
      </c>
      <c r="P590">
        <v>2019</v>
      </c>
      <c r="Q590">
        <v>0.15029999999999999</v>
      </c>
      <c r="R590" s="10"/>
      <c r="S590">
        <f>ROUND(ТабCЕС[[#This Row],[Зелений Тариф ЕЦ]]+ТабCЕС[[#This Row],[Зелений Тариф ЕЦ]]*ТабCЕС[[#This Row],[% надбавки]],4)</f>
        <v>0.15029999999999999</v>
      </c>
      <c r="T590" s="8"/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</row>
    <row r="591" spans="3:52">
      <c r="C591" t="s">
        <v>58</v>
      </c>
      <c r="D591" t="s">
        <v>384</v>
      </c>
      <c r="F591" s="1" t="s">
        <v>1825</v>
      </c>
      <c r="G591" s="1" t="s">
        <v>384</v>
      </c>
      <c r="H591" t="s">
        <v>65</v>
      </c>
      <c r="K591" t="s">
        <v>1826</v>
      </c>
      <c r="L591" s="7">
        <v>2.42</v>
      </c>
      <c r="M591" s="8">
        <v>43700</v>
      </c>
      <c r="N591">
        <v>8</v>
      </c>
      <c r="O591" t="s">
        <v>60</v>
      </c>
      <c r="P591">
        <v>2019</v>
      </c>
      <c r="Q591">
        <v>0.15029999999999999</v>
      </c>
      <c r="R591" s="10"/>
      <c r="S591">
        <f>ROUND(ТабCЕС[[#This Row],[Зелений Тариф ЕЦ]]+ТабCЕС[[#This Row],[Зелений Тариф ЕЦ]]*ТабCЕС[[#This Row],[% надбавки]],4)</f>
        <v>0.15029999999999999</v>
      </c>
      <c r="T591" s="8"/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</row>
    <row r="592" spans="3:52">
      <c r="C592" t="s">
        <v>58</v>
      </c>
      <c r="D592" t="s">
        <v>384</v>
      </c>
      <c r="F592" s="1" t="s">
        <v>1827</v>
      </c>
      <c r="G592" s="1" t="s">
        <v>384</v>
      </c>
      <c r="H592" t="s">
        <v>82</v>
      </c>
      <c r="K592" t="s">
        <v>1828</v>
      </c>
      <c r="L592" s="7">
        <v>6.0019999999999998</v>
      </c>
      <c r="M592" s="8">
        <v>43700</v>
      </c>
      <c r="N592">
        <v>8</v>
      </c>
      <c r="O592" t="s">
        <v>60</v>
      </c>
      <c r="P592">
        <v>2019</v>
      </c>
      <c r="Q592">
        <v>0.15029999999999999</v>
      </c>
      <c r="R592" s="10"/>
      <c r="S592">
        <f>ROUND(ТабCЕС[[#This Row],[Зелений Тариф ЕЦ]]+ТабCЕС[[#This Row],[Зелений Тариф ЕЦ]]*ТабCЕС[[#This Row],[% надбавки]],4)</f>
        <v>0.15029999999999999</v>
      </c>
      <c r="T592" s="8"/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</row>
    <row r="593" spans="2:52">
      <c r="C593" t="s">
        <v>58</v>
      </c>
      <c r="D593" t="s">
        <v>384</v>
      </c>
      <c r="F593" s="1" t="s">
        <v>1829</v>
      </c>
      <c r="G593" s="1" t="s">
        <v>384</v>
      </c>
      <c r="H593" t="s">
        <v>107</v>
      </c>
      <c r="K593" t="s">
        <v>1830</v>
      </c>
      <c r="L593" s="7">
        <v>1.1819999999999999</v>
      </c>
      <c r="M593" s="8">
        <v>43700</v>
      </c>
      <c r="N593">
        <v>8</v>
      </c>
      <c r="O593" t="s">
        <v>60</v>
      </c>
      <c r="P593">
        <v>2019</v>
      </c>
      <c r="Q593">
        <v>0.15029999999999999</v>
      </c>
      <c r="R593" s="10"/>
      <c r="S593">
        <f>ROUND(ТабCЕС[[#This Row],[Зелений Тариф ЕЦ]]+ТабCЕС[[#This Row],[Зелений Тариф ЕЦ]]*ТабCЕС[[#This Row],[% надбавки]],4)</f>
        <v>0.15029999999999999</v>
      </c>
      <c r="T593" s="8"/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</row>
    <row r="594" spans="2:52">
      <c r="C594" t="s">
        <v>58</v>
      </c>
      <c r="D594" t="s">
        <v>384</v>
      </c>
      <c r="F594" s="1" t="s">
        <v>1831</v>
      </c>
      <c r="G594" s="1" t="s">
        <v>384</v>
      </c>
      <c r="H594" t="s">
        <v>65</v>
      </c>
      <c r="K594" t="s">
        <v>1832</v>
      </c>
      <c r="L594" s="7">
        <v>1.0640000000000001</v>
      </c>
      <c r="M594" s="8">
        <v>43700</v>
      </c>
      <c r="N594">
        <v>8</v>
      </c>
      <c r="O594" t="s">
        <v>60</v>
      </c>
      <c r="P594">
        <v>2019</v>
      </c>
      <c r="Q594">
        <v>0.15029999999999999</v>
      </c>
      <c r="R594" s="10"/>
      <c r="S594">
        <f>ROUND(ТабCЕС[[#This Row],[Зелений Тариф ЕЦ]]+ТабCЕС[[#This Row],[Зелений Тариф ЕЦ]]*ТабCЕС[[#This Row],[% надбавки]],4)</f>
        <v>0.15029999999999999</v>
      </c>
      <c r="T594" s="8"/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</row>
    <row r="595" spans="2:52" ht="25.5">
      <c r="C595" t="s">
        <v>58</v>
      </c>
      <c r="D595" t="s">
        <v>384</v>
      </c>
      <c r="F595" s="1" t="s">
        <v>1833</v>
      </c>
      <c r="G595" s="1" t="s">
        <v>384</v>
      </c>
      <c r="H595" t="s">
        <v>233</v>
      </c>
      <c r="K595" t="s">
        <v>1834</v>
      </c>
      <c r="L595" s="7">
        <v>0.309</v>
      </c>
      <c r="M595" s="8">
        <v>43700</v>
      </c>
      <c r="N595">
        <v>8</v>
      </c>
      <c r="O595" t="s">
        <v>60</v>
      </c>
      <c r="P595">
        <v>2019</v>
      </c>
      <c r="Q595">
        <v>0.16370000000000001</v>
      </c>
      <c r="R595" s="10"/>
      <c r="S595">
        <f>ROUND(ТабCЕС[[#This Row],[Зелений Тариф ЕЦ]]+ТабCЕС[[#This Row],[Зелений Тариф ЕЦ]]*ТабCЕС[[#This Row],[% надбавки]],4)</f>
        <v>0.16370000000000001</v>
      </c>
      <c r="T595" s="8"/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</row>
    <row r="596" spans="2:52">
      <c r="B596" t="s">
        <v>1835</v>
      </c>
      <c r="C596">
        <v>42092209</v>
      </c>
      <c r="D596" t="s">
        <v>384</v>
      </c>
      <c r="F596" s="1" t="s">
        <v>1836</v>
      </c>
      <c r="G596" s="1" t="s">
        <v>1837</v>
      </c>
      <c r="H596" t="s">
        <v>82</v>
      </c>
      <c r="K596" t="s">
        <v>1838</v>
      </c>
      <c r="L596" s="7">
        <v>11.11</v>
      </c>
      <c r="M596" s="8">
        <v>43707</v>
      </c>
      <c r="N596">
        <v>8</v>
      </c>
      <c r="O596" t="s">
        <v>60</v>
      </c>
      <c r="P596">
        <v>2019</v>
      </c>
      <c r="Q596">
        <v>0.15029999999999999</v>
      </c>
      <c r="R596" s="10"/>
      <c r="S596">
        <f>ROUND(ТабCЕС[[#This Row],[Зелений Тариф ЕЦ]]+ТабCЕС[[#This Row],[Зелений Тариф ЕЦ]]*ТабCЕС[[#This Row],[% надбавки]],4)</f>
        <v>0.15029999999999999</v>
      </c>
      <c r="T596" s="8"/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</row>
    <row r="597" spans="2:52">
      <c r="B597" t="s">
        <v>1839</v>
      </c>
      <c r="C597">
        <v>42092209</v>
      </c>
      <c r="D597" t="s">
        <v>384</v>
      </c>
      <c r="F597" s="1" t="s">
        <v>1836</v>
      </c>
      <c r="G597" s="1" t="s">
        <v>1840</v>
      </c>
      <c r="H597" t="s">
        <v>82</v>
      </c>
      <c r="K597" t="s">
        <v>1838</v>
      </c>
      <c r="L597" s="7">
        <v>11.11</v>
      </c>
      <c r="M597" s="8">
        <v>43707</v>
      </c>
      <c r="N597">
        <v>8</v>
      </c>
      <c r="O597" t="s">
        <v>60</v>
      </c>
      <c r="P597">
        <v>2019</v>
      </c>
      <c r="Q597">
        <v>0.15029999999999999</v>
      </c>
      <c r="R597" s="10"/>
      <c r="S597">
        <f>ROUND(ТабCЕС[[#This Row],[Зелений Тариф ЕЦ]]+ТабCЕС[[#This Row],[Зелений Тариф ЕЦ]]*ТабCЕС[[#This Row],[% надбавки]],4)</f>
        <v>0.15029999999999999</v>
      </c>
      <c r="T597" s="8"/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</row>
    <row r="598" spans="2:52">
      <c r="C598" t="s">
        <v>58</v>
      </c>
      <c r="D598" t="s">
        <v>384</v>
      </c>
      <c r="F598" s="1" t="s">
        <v>1841</v>
      </c>
      <c r="G598" s="1" t="s">
        <v>384</v>
      </c>
      <c r="H598" t="s">
        <v>82</v>
      </c>
      <c r="K598" t="s">
        <v>1842</v>
      </c>
      <c r="L598" s="7">
        <v>1.026</v>
      </c>
      <c r="M598" s="8">
        <v>43707</v>
      </c>
      <c r="N598">
        <v>8</v>
      </c>
      <c r="O598" t="s">
        <v>60</v>
      </c>
      <c r="P598">
        <v>2019</v>
      </c>
      <c r="Q598">
        <v>0.15029999999999999</v>
      </c>
      <c r="R598" s="10"/>
      <c r="S598">
        <f>ROUND(ТабCЕС[[#This Row],[Зелений Тариф ЕЦ]]+ТабCЕС[[#This Row],[Зелений Тариф ЕЦ]]*ТабCЕС[[#This Row],[% надбавки]],4)</f>
        <v>0.15029999999999999</v>
      </c>
      <c r="T598" s="8"/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</row>
    <row r="599" spans="2:52">
      <c r="C599" t="s">
        <v>58</v>
      </c>
      <c r="D599" t="s">
        <v>384</v>
      </c>
      <c r="F599" s="1" t="s">
        <v>1843</v>
      </c>
      <c r="G599" s="1" t="s">
        <v>1844</v>
      </c>
      <c r="H599" t="s">
        <v>141</v>
      </c>
      <c r="K599" t="s">
        <v>1845</v>
      </c>
      <c r="L599" s="7">
        <v>0.436</v>
      </c>
      <c r="M599" s="8">
        <v>43707</v>
      </c>
      <c r="N599">
        <v>8</v>
      </c>
      <c r="O599" t="s">
        <v>60</v>
      </c>
      <c r="P599">
        <v>2019</v>
      </c>
      <c r="Q599">
        <v>0.16370000000000001</v>
      </c>
      <c r="R599" s="10"/>
      <c r="S599">
        <f>ROUND(ТабCЕС[[#This Row],[Зелений Тариф ЕЦ]]+ТабCЕС[[#This Row],[Зелений Тариф ЕЦ]]*ТабCЕС[[#This Row],[% надбавки]],4)</f>
        <v>0.16370000000000001</v>
      </c>
      <c r="T599" s="8"/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</row>
    <row r="600" spans="2:52">
      <c r="C600" t="s">
        <v>58</v>
      </c>
      <c r="D600" t="s">
        <v>384</v>
      </c>
      <c r="F600" s="1" t="s">
        <v>1846</v>
      </c>
      <c r="G600" s="1" t="s">
        <v>1847</v>
      </c>
      <c r="H600" t="s">
        <v>69</v>
      </c>
      <c r="K600" t="s">
        <v>1848</v>
      </c>
      <c r="L600" s="7">
        <v>13.067</v>
      </c>
      <c r="M600" s="8">
        <v>43718</v>
      </c>
      <c r="N600">
        <v>9</v>
      </c>
      <c r="O600" t="s">
        <v>60</v>
      </c>
      <c r="P600">
        <v>2019</v>
      </c>
      <c r="Q600">
        <v>0.15029999999999999</v>
      </c>
      <c r="R600" s="10"/>
      <c r="S600">
        <f>ROUND(ТабCЕС[[#This Row],[Зелений Тариф ЕЦ]]+ТабCЕС[[#This Row],[Зелений Тариф ЕЦ]]*ТабCЕС[[#This Row],[% надбавки]],4)</f>
        <v>0.15029999999999999</v>
      </c>
      <c r="T600" s="8"/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</row>
    <row r="601" spans="2:52">
      <c r="C601" t="s">
        <v>58</v>
      </c>
      <c r="D601" t="s">
        <v>384</v>
      </c>
      <c r="F601" s="1" t="s">
        <v>1849</v>
      </c>
      <c r="G601" s="1" t="s">
        <v>1850</v>
      </c>
      <c r="H601" t="s">
        <v>69</v>
      </c>
      <c r="K601" t="s">
        <v>1851</v>
      </c>
      <c r="L601" s="7">
        <v>10.358000000000001</v>
      </c>
      <c r="M601" s="8">
        <v>43718</v>
      </c>
      <c r="N601">
        <v>9</v>
      </c>
      <c r="O601" t="s">
        <v>60</v>
      </c>
      <c r="P601">
        <v>2019</v>
      </c>
      <c r="Q601">
        <v>0.15029999999999999</v>
      </c>
      <c r="R601" s="10"/>
      <c r="S601">
        <f>ROUND(ТабCЕС[[#This Row],[Зелений Тариф ЕЦ]]+ТабCЕС[[#This Row],[Зелений Тариф ЕЦ]]*ТабCЕС[[#This Row],[% надбавки]],4)</f>
        <v>0.15029999999999999</v>
      </c>
      <c r="T601" s="8"/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</row>
    <row r="602" spans="2:52">
      <c r="C602" t="s">
        <v>58</v>
      </c>
      <c r="D602" t="s">
        <v>384</v>
      </c>
      <c r="F602" s="1" t="s">
        <v>1852</v>
      </c>
      <c r="G602" s="1" t="s">
        <v>384</v>
      </c>
      <c r="H602" t="s">
        <v>98</v>
      </c>
      <c r="K602" t="s">
        <v>1853</v>
      </c>
      <c r="L602" s="7">
        <v>0.18099999999999999</v>
      </c>
      <c r="M602" s="8">
        <v>43718</v>
      </c>
      <c r="N602">
        <v>9</v>
      </c>
      <c r="O602" t="s">
        <v>60</v>
      </c>
      <c r="P602">
        <v>2019</v>
      </c>
      <c r="Q602">
        <v>0.16370000000000001</v>
      </c>
      <c r="R602" s="10"/>
      <c r="S602">
        <f>ROUND(ТабCЕС[[#This Row],[Зелений Тариф ЕЦ]]+ТабCЕС[[#This Row],[Зелений Тариф ЕЦ]]*ТабCЕС[[#This Row],[% надбавки]],4)</f>
        <v>0.16370000000000001</v>
      </c>
      <c r="T602" s="8"/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</row>
    <row r="603" spans="2:52">
      <c r="C603" t="s">
        <v>58</v>
      </c>
      <c r="D603" t="s">
        <v>384</v>
      </c>
      <c r="F603" s="1" t="s">
        <v>1854</v>
      </c>
      <c r="G603" s="1" t="s">
        <v>1855</v>
      </c>
      <c r="H603" t="s">
        <v>62</v>
      </c>
      <c r="I603" t="s">
        <v>1856</v>
      </c>
      <c r="J603" t="s">
        <v>1857</v>
      </c>
      <c r="K603" t="s">
        <v>1858</v>
      </c>
      <c r="L603" s="7">
        <v>14.676</v>
      </c>
      <c r="M603" s="8">
        <v>43721</v>
      </c>
      <c r="N603">
        <v>9</v>
      </c>
      <c r="O603" t="s">
        <v>60</v>
      </c>
      <c r="P603">
        <v>2019</v>
      </c>
      <c r="Q603">
        <v>0.15029999999999999</v>
      </c>
      <c r="R603" s="10"/>
      <c r="S603">
        <f>ROUND(ТабCЕС[[#This Row],[Зелений Тариф ЕЦ]]+ТабCЕС[[#This Row],[Зелений Тариф ЕЦ]]*ТабCЕС[[#This Row],[% надбавки]],4)</f>
        <v>0.15029999999999999</v>
      </c>
      <c r="T603" s="8"/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</row>
    <row r="604" spans="2:52">
      <c r="C604" t="s">
        <v>58</v>
      </c>
      <c r="D604" t="s">
        <v>384</v>
      </c>
      <c r="F604" s="1" t="s">
        <v>1859</v>
      </c>
      <c r="G604" s="1" t="s">
        <v>384</v>
      </c>
      <c r="H604" t="s">
        <v>65</v>
      </c>
      <c r="I604" t="s">
        <v>1860</v>
      </c>
      <c r="J604" t="s">
        <v>1860</v>
      </c>
      <c r="K604" t="s">
        <v>1861</v>
      </c>
      <c r="L604" s="7">
        <v>0.437</v>
      </c>
      <c r="M604" s="8">
        <v>43721</v>
      </c>
      <c r="N604">
        <v>9</v>
      </c>
      <c r="O604" t="s">
        <v>60</v>
      </c>
      <c r="P604">
        <v>2019</v>
      </c>
      <c r="Q604">
        <v>0.16370000000000001</v>
      </c>
      <c r="R604" s="10"/>
      <c r="S604">
        <f>ROUND(ТабCЕС[[#This Row],[Зелений Тариф ЕЦ]]+ТабCЕС[[#This Row],[Зелений Тариф ЕЦ]]*ТабCЕС[[#This Row],[% надбавки]],4)</f>
        <v>0.16370000000000001</v>
      </c>
      <c r="T604" s="8"/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</row>
    <row r="605" spans="2:52">
      <c r="C605" t="s">
        <v>58</v>
      </c>
      <c r="D605" t="s">
        <v>384</v>
      </c>
      <c r="F605" s="1" t="s">
        <v>1862</v>
      </c>
      <c r="H605" t="s">
        <v>198</v>
      </c>
      <c r="L605" s="7">
        <v>0.89200000000000002</v>
      </c>
      <c r="M605" s="8">
        <v>43721</v>
      </c>
      <c r="N605">
        <v>9</v>
      </c>
      <c r="O605" t="s">
        <v>60</v>
      </c>
      <c r="P605">
        <v>2019</v>
      </c>
      <c r="Q605">
        <v>0.15029999999999999</v>
      </c>
      <c r="R605" s="10"/>
      <c r="S605">
        <f>ROUND(ТабCЕС[[#This Row],[Зелений Тариф ЕЦ]]+ТабCЕС[[#This Row],[Зелений Тариф ЕЦ]]*ТабCЕС[[#This Row],[% надбавки]],4)</f>
        <v>0.15029999999999999</v>
      </c>
      <c r="T605" s="8"/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</row>
    <row r="606" spans="2:52">
      <c r="C606" t="s">
        <v>58</v>
      </c>
      <c r="D606" t="s">
        <v>384</v>
      </c>
      <c r="F606" s="1" t="s">
        <v>1863</v>
      </c>
      <c r="H606" t="s">
        <v>82</v>
      </c>
      <c r="L606" s="7">
        <v>2.85</v>
      </c>
      <c r="M606" s="8">
        <v>43721</v>
      </c>
      <c r="N606">
        <v>9</v>
      </c>
      <c r="O606" t="s">
        <v>60</v>
      </c>
      <c r="P606">
        <v>2019</v>
      </c>
      <c r="Q606">
        <v>0.15029999999999999</v>
      </c>
      <c r="R606" s="10"/>
      <c r="S606">
        <f>ROUND(ТабCЕС[[#This Row],[Зелений Тариф ЕЦ]]+ТабCЕС[[#This Row],[Зелений Тариф ЕЦ]]*ТабCЕС[[#This Row],[% надбавки]],4)</f>
        <v>0.15029999999999999</v>
      </c>
      <c r="T606" s="8"/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</row>
    <row r="607" spans="2:52">
      <c r="C607" t="s">
        <v>58</v>
      </c>
      <c r="D607" t="s">
        <v>384</v>
      </c>
      <c r="F607" s="1" t="s">
        <v>1864</v>
      </c>
      <c r="H607" t="s">
        <v>185</v>
      </c>
      <c r="L607" s="7">
        <v>4.6399999999999997</v>
      </c>
      <c r="M607" s="8">
        <v>43732</v>
      </c>
      <c r="N607">
        <v>9</v>
      </c>
      <c r="O607" t="s">
        <v>60</v>
      </c>
      <c r="P607">
        <v>2019</v>
      </c>
      <c r="Q607">
        <v>0.15029999999999999</v>
      </c>
      <c r="R607" s="10"/>
      <c r="S607">
        <f>ROUND(ТабCЕС[[#This Row],[Зелений Тариф ЕЦ]]+ТабCЕС[[#This Row],[Зелений Тариф ЕЦ]]*ТабCЕС[[#This Row],[% надбавки]],4)</f>
        <v>0.15029999999999999</v>
      </c>
      <c r="T607" s="8"/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</row>
    <row r="608" spans="2:52">
      <c r="C608" t="s">
        <v>58</v>
      </c>
      <c r="D608" t="s">
        <v>384</v>
      </c>
      <c r="F608" s="1" t="s">
        <v>1865</v>
      </c>
      <c r="H608" t="s">
        <v>198</v>
      </c>
      <c r="L608" s="7">
        <v>3.226</v>
      </c>
      <c r="M608" s="8">
        <v>43732</v>
      </c>
      <c r="N608">
        <v>9</v>
      </c>
      <c r="O608" t="s">
        <v>60</v>
      </c>
      <c r="P608">
        <v>2019</v>
      </c>
      <c r="Q608">
        <v>0.15029999999999999</v>
      </c>
      <c r="R608" s="10"/>
      <c r="S608">
        <f>ROUND(ТабCЕС[[#This Row],[Зелений Тариф ЕЦ]]+ТабCЕС[[#This Row],[Зелений Тариф ЕЦ]]*ТабCЕС[[#This Row],[% надбавки]],4)</f>
        <v>0.15029999999999999</v>
      </c>
      <c r="T608" s="8"/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</row>
    <row r="609" spans="3:52">
      <c r="C609" t="s">
        <v>58</v>
      </c>
      <c r="D609" t="s">
        <v>384</v>
      </c>
      <c r="F609" s="1" t="s">
        <v>1866</v>
      </c>
      <c r="H609" t="s">
        <v>185</v>
      </c>
      <c r="L609" s="7">
        <v>2.5390000000000001</v>
      </c>
      <c r="M609" s="8">
        <v>43732</v>
      </c>
      <c r="N609">
        <v>9</v>
      </c>
      <c r="O609" t="s">
        <v>60</v>
      </c>
      <c r="P609">
        <v>2019</v>
      </c>
      <c r="Q609">
        <v>0.15029999999999999</v>
      </c>
      <c r="R609" s="10"/>
      <c r="S609">
        <f>ROUND(ТабCЕС[[#This Row],[Зелений Тариф ЕЦ]]+ТабCЕС[[#This Row],[Зелений Тариф ЕЦ]]*ТабCЕС[[#This Row],[% надбавки]],4)</f>
        <v>0.15029999999999999</v>
      </c>
      <c r="T609" s="8"/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</row>
    <row r="610" spans="3:52">
      <c r="C610" t="s">
        <v>58</v>
      </c>
      <c r="D610" t="s">
        <v>384</v>
      </c>
      <c r="F610" s="1" t="s">
        <v>1867</v>
      </c>
      <c r="H610" t="s">
        <v>172</v>
      </c>
      <c r="L610" s="7">
        <v>0.51500000000000001</v>
      </c>
      <c r="M610" s="8">
        <v>43732</v>
      </c>
      <c r="N610">
        <v>9</v>
      </c>
      <c r="O610" t="s">
        <v>60</v>
      </c>
      <c r="P610">
        <v>2019</v>
      </c>
      <c r="Q610">
        <v>0.16370000000000001</v>
      </c>
      <c r="R610" s="10"/>
      <c r="S610">
        <f>ROUND(ТабCЕС[[#This Row],[Зелений Тариф ЕЦ]]+ТабCЕС[[#This Row],[Зелений Тариф ЕЦ]]*ТабCЕС[[#This Row],[% надбавки]],4)</f>
        <v>0.16370000000000001</v>
      </c>
      <c r="T610" s="8"/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</row>
    <row r="611" spans="3:52">
      <c r="C611" t="s">
        <v>58</v>
      </c>
      <c r="D611" t="s">
        <v>384</v>
      </c>
      <c r="F611" s="1" t="s">
        <v>1868</v>
      </c>
      <c r="H611" t="s">
        <v>73</v>
      </c>
      <c r="L611" s="7">
        <v>1.992</v>
      </c>
      <c r="M611" s="8">
        <v>43732</v>
      </c>
      <c r="N611">
        <v>9</v>
      </c>
      <c r="O611" t="s">
        <v>60</v>
      </c>
      <c r="P611">
        <v>2019</v>
      </c>
      <c r="Q611">
        <v>0.15029999999999999</v>
      </c>
      <c r="R611" s="10"/>
      <c r="S611">
        <f>ROUND(ТабCЕС[[#This Row],[Зелений Тариф ЕЦ]]+ТабCЕС[[#This Row],[Зелений Тариф ЕЦ]]*ТабCЕС[[#This Row],[% надбавки]],4)</f>
        <v>0.15029999999999999</v>
      </c>
      <c r="T611" s="8"/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</row>
    <row r="612" spans="3:52">
      <c r="C612" t="s">
        <v>58</v>
      </c>
      <c r="D612" t="s">
        <v>384</v>
      </c>
      <c r="F612" s="1" t="s">
        <v>1869</v>
      </c>
      <c r="H612" t="s">
        <v>122</v>
      </c>
      <c r="L612" s="7">
        <v>1.052</v>
      </c>
      <c r="M612" s="8">
        <v>43732</v>
      </c>
      <c r="N612">
        <v>9</v>
      </c>
      <c r="O612" t="s">
        <v>60</v>
      </c>
      <c r="P612">
        <v>2019</v>
      </c>
      <c r="Q612">
        <v>0.16370000000000001</v>
      </c>
      <c r="R612" s="10"/>
      <c r="S612">
        <f>ROUND(ТабCЕС[[#This Row],[Зелений Тариф ЕЦ]]+ТабCЕС[[#This Row],[Зелений Тариф ЕЦ]]*ТабCЕС[[#This Row],[% надбавки]],4)</f>
        <v>0.16370000000000001</v>
      </c>
      <c r="T612" s="8"/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</row>
    <row r="613" spans="3:52">
      <c r="C613" t="s">
        <v>58</v>
      </c>
      <c r="D613" t="s">
        <v>384</v>
      </c>
      <c r="F613" s="1" t="s">
        <v>1870</v>
      </c>
      <c r="G613" s="1" t="s">
        <v>384</v>
      </c>
      <c r="H613" t="s">
        <v>122</v>
      </c>
      <c r="K613" t="s">
        <v>1871</v>
      </c>
      <c r="L613" s="29">
        <v>11.19</v>
      </c>
      <c r="M613" s="8">
        <v>43741</v>
      </c>
      <c r="N613">
        <v>10</v>
      </c>
      <c r="O613" t="s">
        <v>71</v>
      </c>
      <c r="P613">
        <v>2019</v>
      </c>
      <c r="Q613">
        <v>0.15029999999999999</v>
      </c>
      <c r="R613" s="10"/>
      <c r="S613">
        <f>ROUND(ТабCЕС[[#This Row],[Зелений Тариф ЕЦ]]+ТабCЕС[[#This Row],[Зелений Тариф ЕЦ]]*ТабCЕС[[#This Row],[% надбавки]],4)</f>
        <v>0.15029999999999999</v>
      </c>
      <c r="T613" s="8"/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</row>
    <row r="614" spans="3:52">
      <c r="C614" t="s">
        <v>58</v>
      </c>
      <c r="D614" t="s">
        <v>384</v>
      </c>
      <c r="F614" s="1" t="s">
        <v>1872</v>
      </c>
      <c r="G614" s="1" t="s">
        <v>1873</v>
      </c>
      <c r="H614" t="s">
        <v>73</v>
      </c>
      <c r="K614" t="s">
        <v>1874</v>
      </c>
      <c r="L614" s="29">
        <v>6.2069999999999999</v>
      </c>
      <c r="M614" s="8">
        <v>43741</v>
      </c>
      <c r="N614">
        <v>10</v>
      </c>
      <c r="O614" t="s">
        <v>71</v>
      </c>
      <c r="P614">
        <v>2019</v>
      </c>
      <c r="Q614">
        <v>0.15029999999999999</v>
      </c>
      <c r="R614" s="10"/>
      <c r="S614">
        <f>ROUND(ТабCЕС[[#This Row],[Зелений Тариф ЕЦ]]+ТабCЕС[[#This Row],[Зелений Тариф ЕЦ]]*ТабCЕС[[#This Row],[% надбавки]],4)</f>
        <v>0.15029999999999999</v>
      </c>
      <c r="T614" s="8"/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</row>
    <row r="615" spans="3:52">
      <c r="C615" t="s">
        <v>58</v>
      </c>
      <c r="D615" t="s">
        <v>384</v>
      </c>
      <c r="F615" s="1" t="s">
        <v>1875</v>
      </c>
      <c r="G615" s="1" t="s">
        <v>1876</v>
      </c>
      <c r="H615" t="s">
        <v>107</v>
      </c>
      <c r="K615" t="s">
        <v>1877</v>
      </c>
      <c r="L615" s="29">
        <v>0.996</v>
      </c>
      <c r="M615" s="8">
        <v>43741</v>
      </c>
      <c r="N615">
        <v>10</v>
      </c>
      <c r="O615" t="s">
        <v>71</v>
      </c>
      <c r="P615">
        <v>2019</v>
      </c>
      <c r="Q615">
        <v>0.15029999999999999</v>
      </c>
      <c r="R615" s="10"/>
      <c r="S615">
        <f>ROUND(ТабCЕС[[#This Row],[Зелений Тариф ЕЦ]]+ТабCЕС[[#This Row],[Зелений Тариф ЕЦ]]*ТабCЕС[[#This Row],[% надбавки]],4)</f>
        <v>0.15029999999999999</v>
      </c>
      <c r="T615" s="8"/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</row>
    <row r="616" spans="3:52">
      <c r="C616" t="s">
        <v>58</v>
      </c>
      <c r="D616" t="s">
        <v>384</v>
      </c>
      <c r="F616" s="1" t="s">
        <v>1878</v>
      </c>
      <c r="G616" s="1" t="s">
        <v>1879</v>
      </c>
      <c r="H616" t="s">
        <v>65</v>
      </c>
      <c r="K616" t="s">
        <v>1880</v>
      </c>
      <c r="L616" s="29">
        <v>8.3160000000000007</v>
      </c>
      <c r="M616" s="8">
        <v>43741</v>
      </c>
      <c r="N616">
        <v>10</v>
      </c>
      <c r="O616" t="s">
        <v>71</v>
      </c>
      <c r="P616">
        <v>2019</v>
      </c>
      <c r="Q616">
        <v>0.15029999999999999</v>
      </c>
      <c r="R616" s="10"/>
      <c r="S616">
        <f>ROUND(ТабCЕС[[#This Row],[Зелений Тариф ЕЦ]]+ТабCЕС[[#This Row],[Зелений Тариф ЕЦ]]*ТабCЕС[[#This Row],[% надбавки]],4)</f>
        <v>0.15029999999999999</v>
      </c>
      <c r="T616" s="8"/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</row>
    <row r="617" spans="3:52">
      <c r="C617" t="s">
        <v>58</v>
      </c>
      <c r="D617" t="s">
        <v>384</v>
      </c>
      <c r="F617" s="1" t="s">
        <v>1881</v>
      </c>
      <c r="G617" s="1" t="s">
        <v>384</v>
      </c>
      <c r="H617" t="s">
        <v>198</v>
      </c>
      <c r="K617" t="s">
        <v>1882</v>
      </c>
      <c r="L617" s="29">
        <v>5.3490000000000002</v>
      </c>
      <c r="M617" s="8">
        <v>43741</v>
      </c>
      <c r="N617">
        <v>10</v>
      </c>
      <c r="O617" t="s">
        <v>71</v>
      </c>
      <c r="P617">
        <v>2019</v>
      </c>
      <c r="Q617">
        <v>0.15029999999999999</v>
      </c>
      <c r="R617" s="10"/>
      <c r="S617">
        <f>ROUND(ТабCЕС[[#This Row],[Зелений Тариф ЕЦ]]+ТабCЕС[[#This Row],[Зелений Тариф ЕЦ]]*ТабCЕС[[#This Row],[% надбавки]],4)</f>
        <v>0.15029999999999999</v>
      </c>
      <c r="T617" s="8"/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</row>
    <row r="618" spans="3:52">
      <c r="C618" t="s">
        <v>58</v>
      </c>
      <c r="D618" t="s">
        <v>384</v>
      </c>
      <c r="F618" s="1" t="s">
        <v>1883</v>
      </c>
      <c r="G618" s="1" t="s">
        <v>1884</v>
      </c>
      <c r="H618" t="s">
        <v>65</v>
      </c>
      <c r="K618" t="s">
        <v>1885</v>
      </c>
      <c r="L618" s="29">
        <v>3.4140000000000001</v>
      </c>
      <c r="M618" s="8">
        <v>43741</v>
      </c>
      <c r="N618">
        <v>10</v>
      </c>
      <c r="O618" t="s">
        <v>71</v>
      </c>
      <c r="P618">
        <v>2019</v>
      </c>
      <c r="Q618">
        <v>0.15029999999999999</v>
      </c>
      <c r="R618" s="10"/>
      <c r="S618">
        <f>ROUND(ТабCЕС[[#This Row],[Зелений Тариф ЕЦ]]+ТабCЕС[[#This Row],[Зелений Тариф ЕЦ]]*ТабCЕС[[#This Row],[% надбавки]],4)</f>
        <v>0.15029999999999999</v>
      </c>
      <c r="T618" s="8"/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</row>
    <row r="619" spans="3:52" ht="25.5">
      <c r="C619" t="s">
        <v>58</v>
      </c>
      <c r="D619" t="s">
        <v>384</v>
      </c>
      <c r="F619" s="1" t="s">
        <v>1886</v>
      </c>
      <c r="G619" s="1" t="s">
        <v>1887</v>
      </c>
      <c r="H619" t="s">
        <v>122</v>
      </c>
      <c r="K619" t="s">
        <v>1888</v>
      </c>
      <c r="L619" s="29">
        <v>3.5640000000000001</v>
      </c>
      <c r="M619" s="8">
        <v>43741</v>
      </c>
      <c r="N619">
        <v>10</v>
      </c>
      <c r="O619" t="s">
        <v>71</v>
      </c>
      <c r="P619">
        <v>2019</v>
      </c>
      <c r="Q619">
        <v>0.15029999999999999</v>
      </c>
      <c r="R619" s="10"/>
      <c r="S619">
        <f>ROUND(ТабCЕС[[#This Row],[Зелений Тариф ЕЦ]]+ТабCЕС[[#This Row],[Зелений Тариф ЕЦ]]*ТабCЕС[[#This Row],[% надбавки]],4)</f>
        <v>0.15029999999999999</v>
      </c>
      <c r="T619" s="8"/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</row>
    <row r="620" spans="3:52" ht="25.5">
      <c r="C620" t="s">
        <v>58</v>
      </c>
      <c r="D620" t="s">
        <v>384</v>
      </c>
      <c r="F620" s="1" t="s">
        <v>1773</v>
      </c>
      <c r="G620" s="1" t="s">
        <v>1889</v>
      </c>
      <c r="H620" t="s">
        <v>98</v>
      </c>
      <c r="K620" t="s">
        <v>1890</v>
      </c>
      <c r="L620" s="29">
        <v>15.537000000000001</v>
      </c>
      <c r="M620" s="8">
        <v>43741</v>
      </c>
      <c r="N620">
        <v>10</v>
      </c>
      <c r="O620" t="s">
        <v>71</v>
      </c>
      <c r="P620">
        <v>2019</v>
      </c>
      <c r="Q620">
        <v>0.15029999999999999</v>
      </c>
      <c r="R620" s="10"/>
      <c r="S620">
        <f>ROUND(ТабCЕС[[#This Row],[Зелений Тариф ЕЦ]]+ТабCЕС[[#This Row],[Зелений Тариф ЕЦ]]*ТабCЕС[[#This Row],[% надбавки]],4)</f>
        <v>0.15029999999999999</v>
      </c>
      <c r="T620" s="8"/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</row>
    <row r="621" spans="3:52">
      <c r="C621" t="s">
        <v>58</v>
      </c>
      <c r="D621" t="s">
        <v>384</v>
      </c>
      <c r="F621" s="1" t="s">
        <v>1891</v>
      </c>
      <c r="G621" s="1" t="s">
        <v>1892</v>
      </c>
      <c r="H621" t="s">
        <v>122</v>
      </c>
      <c r="I621" t="s">
        <v>316</v>
      </c>
      <c r="K621" t="s">
        <v>627</v>
      </c>
      <c r="L621" s="29">
        <v>1.081</v>
      </c>
      <c r="M621" s="8">
        <v>43741</v>
      </c>
      <c r="N621">
        <v>10</v>
      </c>
      <c r="O621" t="s">
        <v>71</v>
      </c>
      <c r="P621">
        <v>2019</v>
      </c>
      <c r="Q621">
        <v>0.15029999999999999</v>
      </c>
      <c r="R621" s="10"/>
      <c r="S621">
        <f>ROUND(ТабCЕС[[#This Row],[Зелений Тариф ЕЦ]]+ТабCЕС[[#This Row],[Зелений Тариф ЕЦ]]*ТабCЕС[[#This Row],[% надбавки]],4)</f>
        <v>0.15029999999999999</v>
      </c>
      <c r="T621" s="8"/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</row>
    <row r="622" spans="3:52">
      <c r="C622" t="s">
        <v>58</v>
      </c>
      <c r="D622" t="s">
        <v>384</v>
      </c>
      <c r="F622" s="1" t="s">
        <v>1698</v>
      </c>
      <c r="G622" s="1" t="s">
        <v>384</v>
      </c>
      <c r="H622" t="s">
        <v>163</v>
      </c>
      <c r="I622" t="s">
        <v>1893</v>
      </c>
      <c r="K622" t="s">
        <v>1894</v>
      </c>
      <c r="L622" s="29">
        <v>0.55700000000000005</v>
      </c>
      <c r="M622" s="8">
        <v>43741</v>
      </c>
      <c r="N622">
        <v>10</v>
      </c>
      <c r="O622" t="s">
        <v>71</v>
      </c>
      <c r="P622">
        <v>2019</v>
      </c>
      <c r="Q622">
        <v>0.16370000000000001</v>
      </c>
      <c r="R622" s="10"/>
      <c r="S622">
        <f>ROUND(ТабCЕС[[#This Row],[Зелений Тариф ЕЦ]]+ТабCЕС[[#This Row],[Зелений Тариф ЕЦ]]*ТабCЕС[[#This Row],[% надбавки]],4)</f>
        <v>0.16370000000000001</v>
      </c>
      <c r="T622" s="8"/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</row>
    <row r="623" spans="3:52">
      <c r="C623" t="s">
        <v>58</v>
      </c>
      <c r="D623" t="s">
        <v>384</v>
      </c>
      <c r="F623" s="1" t="s">
        <v>1895</v>
      </c>
      <c r="G623" s="1" t="s">
        <v>384</v>
      </c>
      <c r="H623" t="s">
        <v>122</v>
      </c>
      <c r="K623" t="s">
        <v>1896</v>
      </c>
      <c r="L623" s="29">
        <v>11.19</v>
      </c>
      <c r="M623" s="8">
        <v>43745</v>
      </c>
      <c r="N623">
        <v>10</v>
      </c>
      <c r="O623" t="s">
        <v>71</v>
      </c>
      <c r="P623">
        <v>2019</v>
      </c>
      <c r="Q623">
        <v>0.15029999999999999</v>
      </c>
      <c r="R623" s="10"/>
      <c r="S623">
        <f>ROUND(ТабCЕС[[#This Row],[Зелений Тариф ЕЦ]]+ТабCЕС[[#This Row],[Зелений Тариф ЕЦ]]*ТабCЕС[[#This Row],[% надбавки]],4)</f>
        <v>0.15029999999999999</v>
      </c>
      <c r="T623" s="8"/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</row>
    <row r="624" spans="3:52">
      <c r="C624" t="s">
        <v>58</v>
      </c>
      <c r="D624" t="s">
        <v>384</v>
      </c>
      <c r="F624" s="1" t="s">
        <v>1897</v>
      </c>
      <c r="G624" s="1" t="s">
        <v>1673</v>
      </c>
      <c r="H624" t="s">
        <v>198</v>
      </c>
      <c r="K624" t="s">
        <v>1898</v>
      </c>
      <c r="L624" s="29">
        <v>11.536</v>
      </c>
      <c r="M624" s="8">
        <v>43749</v>
      </c>
      <c r="N624">
        <v>10</v>
      </c>
      <c r="O624" t="s">
        <v>71</v>
      </c>
      <c r="P624">
        <v>2019</v>
      </c>
      <c r="Q624">
        <v>0.15029999999999999</v>
      </c>
      <c r="R624" s="10"/>
      <c r="S624">
        <f>ROUND(ТабCЕС[[#This Row],[Зелений Тариф ЕЦ]]+ТабCЕС[[#This Row],[Зелений Тариф ЕЦ]]*ТабCЕС[[#This Row],[% надбавки]],4)</f>
        <v>0.15029999999999999</v>
      </c>
      <c r="T624" s="8"/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</row>
    <row r="625" spans="3:52">
      <c r="C625" t="s">
        <v>58</v>
      </c>
      <c r="D625" t="s">
        <v>384</v>
      </c>
      <c r="F625" s="1" t="s">
        <v>1899</v>
      </c>
      <c r="G625" s="1" t="s">
        <v>1900</v>
      </c>
      <c r="H625" t="s">
        <v>73</v>
      </c>
      <c r="I625" t="s">
        <v>1901</v>
      </c>
      <c r="K625" t="s">
        <v>1902</v>
      </c>
      <c r="L625" s="29">
        <v>6.4029999999999996</v>
      </c>
      <c r="M625" s="8">
        <v>43749</v>
      </c>
      <c r="N625">
        <v>10</v>
      </c>
      <c r="O625" t="s">
        <v>71</v>
      </c>
      <c r="P625">
        <v>2019</v>
      </c>
      <c r="Q625">
        <v>0.15029999999999999</v>
      </c>
      <c r="R625" s="10"/>
      <c r="S625">
        <f>ROUND(ТабCЕС[[#This Row],[Зелений Тариф ЕЦ]]+ТабCЕС[[#This Row],[Зелений Тариф ЕЦ]]*ТабCЕС[[#This Row],[% надбавки]],4)</f>
        <v>0.15029999999999999</v>
      </c>
      <c r="T625" s="8"/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</row>
    <row r="626" spans="3:52">
      <c r="C626" t="s">
        <v>58</v>
      </c>
      <c r="D626" t="s">
        <v>384</v>
      </c>
      <c r="F626" s="1" t="s">
        <v>1903</v>
      </c>
      <c r="G626" s="1" t="s">
        <v>1673</v>
      </c>
      <c r="H626" t="s">
        <v>198</v>
      </c>
      <c r="I626" t="s">
        <v>1904</v>
      </c>
      <c r="K626" t="s">
        <v>1905</v>
      </c>
      <c r="L626" s="29">
        <v>7.9119999999999999</v>
      </c>
      <c r="M626" s="8">
        <v>43749</v>
      </c>
      <c r="N626">
        <v>10</v>
      </c>
      <c r="O626" t="s">
        <v>71</v>
      </c>
      <c r="P626">
        <v>2019</v>
      </c>
      <c r="Q626">
        <v>0.15029999999999999</v>
      </c>
      <c r="R626" s="10"/>
      <c r="S626">
        <f>ROUND(ТабCЕС[[#This Row],[Зелений Тариф ЕЦ]]+ТабCЕС[[#This Row],[Зелений Тариф ЕЦ]]*ТабCЕС[[#This Row],[% надбавки]],4)</f>
        <v>0.15029999999999999</v>
      </c>
      <c r="T626" s="8"/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</row>
    <row r="627" spans="3:52">
      <c r="C627" t="s">
        <v>58</v>
      </c>
      <c r="D627" t="s">
        <v>384</v>
      </c>
      <c r="F627" s="1" t="s">
        <v>1906</v>
      </c>
      <c r="G627" s="1" t="s">
        <v>1673</v>
      </c>
      <c r="H627" t="s">
        <v>1257</v>
      </c>
      <c r="I627" t="s">
        <v>1907</v>
      </c>
      <c r="K627" t="s">
        <v>1908</v>
      </c>
      <c r="L627" s="29">
        <v>0.84599999999999997</v>
      </c>
      <c r="M627" s="8">
        <v>43749</v>
      </c>
      <c r="N627">
        <v>10</v>
      </c>
      <c r="O627" t="s">
        <v>71</v>
      </c>
      <c r="P627">
        <v>2019</v>
      </c>
      <c r="Q627">
        <v>0.15029999999999999</v>
      </c>
      <c r="R627" s="10"/>
      <c r="S627">
        <f>ROUND(ТабCЕС[[#This Row],[Зелений Тариф ЕЦ]]+ТабCЕС[[#This Row],[Зелений Тариф ЕЦ]]*ТабCЕС[[#This Row],[% надбавки]],4)</f>
        <v>0.15029999999999999</v>
      </c>
      <c r="T627" s="8"/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</row>
    <row r="628" spans="3:52">
      <c r="C628" t="s">
        <v>58</v>
      </c>
      <c r="D628" t="s">
        <v>384</v>
      </c>
      <c r="F628" s="1" t="s">
        <v>1909</v>
      </c>
      <c r="G628" s="1" t="s">
        <v>1910</v>
      </c>
      <c r="H628" t="s">
        <v>122</v>
      </c>
      <c r="I628" t="s">
        <v>369</v>
      </c>
      <c r="K628" t="s">
        <v>1911</v>
      </c>
      <c r="L628" s="29">
        <v>5.702</v>
      </c>
      <c r="M628" s="8">
        <v>43749</v>
      </c>
      <c r="N628">
        <v>10</v>
      </c>
      <c r="O628" t="s">
        <v>71</v>
      </c>
      <c r="P628">
        <v>2019</v>
      </c>
      <c r="Q628">
        <v>0.15029999999999999</v>
      </c>
      <c r="R628" s="10"/>
      <c r="S628">
        <f>ROUND(ТабCЕС[[#This Row],[Зелений Тариф ЕЦ]]+ТабCЕС[[#This Row],[Зелений Тариф ЕЦ]]*ТабCЕС[[#This Row],[% надбавки]],4)</f>
        <v>0.15029999999999999</v>
      </c>
      <c r="T628" s="8"/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</row>
    <row r="629" spans="3:52">
      <c r="C629" t="s">
        <v>58</v>
      </c>
      <c r="D629" t="s">
        <v>384</v>
      </c>
      <c r="F629" s="1" t="s">
        <v>1912</v>
      </c>
      <c r="G629" s="1" t="s">
        <v>1673</v>
      </c>
      <c r="H629" t="s">
        <v>65</v>
      </c>
      <c r="I629" t="s">
        <v>181</v>
      </c>
      <c r="K629" t="s">
        <v>1913</v>
      </c>
      <c r="L629" s="29">
        <v>0.23400000000000001</v>
      </c>
      <c r="M629" s="8">
        <v>43749</v>
      </c>
      <c r="N629">
        <v>10</v>
      </c>
      <c r="O629" t="s">
        <v>71</v>
      </c>
      <c r="P629">
        <v>2019</v>
      </c>
      <c r="Q629">
        <v>0.15029999999999999</v>
      </c>
      <c r="R629" s="10"/>
      <c r="S629">
        <f>ROUND(ТабCЕС[[#This Row],[Зелений Тариф ЕЦ]]+ТабCЕС[[#This Row],[Зелений Тариф ЕЦ]]*ТабCЕС[[#This Row],[% надбавки]],4)</f>
        <v>0.15029999999999999</v>
      </c>
      <c r="T629" s="8"/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</row>
    <row r="630" spans="3:52">
      <c r="C630" t="s">
        <v>58</v>
      </c>
      <c r="D630" t="s">
        <v>384</v>
      </c>
      <c r="F630" s="1" t="s">
        <v>1914</v>
      </c>
      <c r="G630" s="1" t="s">
        <v>1915</v>
      </c>
      <c r="H630" t="s">
        <v>73</v>
      </c>
      <c r="I630" t="s">
        <v>1901</v>
      </c>
      <c r="K630" t="s">
        <v>1916</v>
      </c>
      <c r="L630" s="29">
        <v>4.7519999999999998</v>
      </c>
      <c r="M630" s="8">
        <v>43749</v>
      </c>
      <c r="N630">
        <v>10</v>
      </c>
      <c r="O630" t="s">
        <v>71</v>
      </c>
      <c r="P630">
        <v>2019</v>
      </c>
      <c r="Q630">
        <v>0.15029999999999999</v>
      </c>
      <c r="R630" s="10"/>
      <c r="S630">
        <f>ROUND(ТабCЕС[[#This Row],[Зелений Тариф ЕЦ]]+ТабCЕС[[#This Row],[Зелений Тариф ЕЦ]]*ТабCЕС[[#This Row],[% надбавки]],4)</f>
        <v>0.15029999999999999</v>
      </c>
      <c r="T630" s="8"/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</row>
    <row r="631" spans="3:52">
      <c r="C631" t="s">
        <v>58</v>
      </c>
      <c r="D631" t="s">
        <v>384</v>
      </c>
      <c r="F631" s="1" t="s">
        <v>1917</v>
      </c>
      <c r="G631" s="1" t="s">
        <v>1918</v>
      </c>
      <c r="H631" t="s">
        <v>172</v>
      </c>
      <c r="I631" t="s">
        <v>1919</v>
      </c>
      <c r="K631" t="s">
        <v>1920</v>
      </c>
      <c r="L631" s="29">
        <v>5.1980000000000004</v>
      </c>
      <c r="M631" s="8">
        <v>43749</v>
      </c>
      <c r="N631">
        <v>10</v>
      </c>
      <c r="O631" t="s">
        <v>71</v>
      </c>
      <c r="P631">
        <v>2019</v>
      </c>
      <c r="Q631">
        <v>0.15029999999999999</v>
      </c>
      <c r="R631" s="10">
        <v>0.05</v>
      </c>
      <c r="S631">
        <f>ROUND(ТабCЕС[[#This Row],[Зелений Тариф ЕЦ]]+ТабCЕС[[#This Row],[Зелений Тариф ЕЦ]]*ТабCЕС[[#This Row],[% надбавки]],4)</f>
        <v>0.1578</v>
      </c>
      <c r="T631" s="8">
        <v>43762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</row>
    <row r="632" spans="3:52">
      <c r="C632" t="s">
        <v>58</v>
      </c>
      <c r="D632" t="s">
        <v>384</v>
      </c>
      <c r="F632" s="1" t="s">
        <v>1921</v>
      </c>
      <c r="G632" s="1" t="s">
        <v>1922</v>
      </c>
      <c r="H632" t="s">
        <v>82</v>
      </c>
      <c r="K632" t="s">
        <v>1923</v>
      </c>
      <c r="L632" s="29">
        <v>6.5049999999999999</v>
      </c>
      <c r="M632" s="8">
        <v>43749</v>
      </c>
      <c r="N632">
        <v>10</v>
      </c>
      <c r="O632" t="s">
        <v>71</v>
      </c>
      <c r="P632">
        <v>2019</v>
      </c>
      <c r="Q632">
        <v>0.15029999999999999</v>
      </c>
      <c r="R632" s="10">
        <v>0.05</v>
      </c>
      <c r="S632">
        <f>ROUND(ТабCЕС[[#This Row],[Зелений Тариф ЕЦ]]+ТабCЕС[[#This Row],[Зелений Тариф ЕЦ]]*ТабCЕС[[#This Row],[% надбавки]],4)</f>
        <v>0.1578</v>
      </c>
      <c r="T632" s="8">
        <v>43821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</row>
    <row r="633" spans="3:52">
      <c r="C633" t="s">
        <v>58</v>
      </c>
      <c r="D633" t="s">
        <v>384</v>
      </c>
      <c r="F633" s="1" t="s">
        <v>1924</v>
      </c>
      <c r="G633" s="1" t="s">
        <v>1925</v>
      </c>
      <c r="H633" t="s">
        <v>163</v>
      </c>
      <c r="I633" t="s">
        <v>1926</v>
      </c>
      <c r="K633" t="s">
        <v>1927</v>
      </c>
      <c r="L633" s="29">
        <v>1.869</v>
      </c>
      <c r="M633" s="8">
        <v>43749</v>
      </c>
      <c r="N633">
        <v>10</v>
      </c>
      <c r="O633" t="s">
        <v>71</v>
      </c>
      <c r="P633">
        <v>2019</v>
      </c>
      <c r="Q633">
        <v>0.16370000000000001</v>
      </c>
      <c r="R633" s="10"/>
      <c r="S633">
        <f>ROUND(ТабCЕС[[#This Row],[Зелений Тариф ЕЦ]]+ТабCЕС[[#This Row],[Зелений Тариф ЕЦ]]*ТабCЕС[[#This Row],[% надбавки]],4)</f>
        <v>0.16370000000000001</v>
      </c>
      <c r="T633" s="8"/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</row>
    <row r="634" spans="3:52">
      <c r="C634" t="s">
        <v>58</v>
      </c>
      <c r="D634" t="s">
        <v>384</v>
      </c>
      <c r="F634" s="1" t="s">
        <v>1928</v>
      </c>
      <c r="G634" s="1" t="s">
        <v>1929</v>
      </c>
      <c r="H634" t="s">
        <v>98</v>
      </c>
      <c r="I634" t="s">
        <v>458</v>
      </c>
      <c r="K634" t="s">
        <v>1930</v>
      </c>
      <c r="L634" s="29">
        <v>35.100999999999999</v>
      </c>
      <c r="M634" s="8">
        <v>43749</v>
      </c>
      <c r="N634">
        <v>10</v>
      </c>
      <c r="O634" t="s">
        <v>71</v>
      </c>
      <c r="P634">
        <v>2019</v>
      </c>
      <c r="Q634">
        <v>0.15029999999999999</v>
      </c>
      <c r="R634" s="10"/>
      <c r="S634">
        <f>ROUND(ТабCЕС[[#This Row],[Зелений Тариф ЕЦ]]+ТабCЕС[[#This Row],[Зелений Тариф ЕЦ]]*ТабCЕС[[#This Row],[% надбавки]],4)</f>
        <v>0.15029999999999999</v>
      </c>
      <c r="T634" s="8"/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</row>
    <row r="635" spans="3:52">
      <c r="C635" t="s">
        <v>58</v>
      </c>
      <c r="D635" t="s">
        <v>384</v>
      </c>
      <c r="F635" s="1" t="s">
        <v>1931</v>
      </c>
      <c r="G635" s="1" t="s">
        <v>1932</v>
      </c>
      <c r="H635" t="s">
        <v>65</v>
      </c>
      <c r="I635" t="s">
        <v>154</v>
      </c>
      <c r="K635" t="s">
        <v>1933</v>
      </c>
      <c r="L635" s="29">
        <v>5.2919999999999998</v>
      </c>
      <c r="M635" s="8">
        <v>43749</v>
      </c>
      <c r="N635">
        <v>10</v>
      </c>
      <c r="O635" t="s">
        <v>71</v>
      </c>
      <c r="P635">
        <v>2019</v>
      </c>
      <c r="Q635">
        <v>0.15029999999999999</v>
      </c>
      <c r="R635" s="10"/>
      <c r="S635">
        <f>ROUND(ТабCЕС[[#This Row],[Зелений Тариф ЕЦ]]+ТабCЕС[[#This Row],[Зелений Тариф ЕЦ]]*ТабCЕС[[#This Row],[% надбавки]],4)</f>
        <v>0.15029999999999999</v>
      </c>
      <c r="T635" s="8"/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</row>
    <row r="636" spans="3:52">
      <c r="C636" t="s">
        <v>58</v>
      </c>
      <c r="D636" t="s">
        <v>384</v>
      </c>
      <c r="F636" s="1" t="s">
        <v>1934</v>
      </c>
      <c r="G636" s="1" t="s">
        <v>1673</v>
      </c>
      <c r="H636" t="s">
        <v>172</v>
      </c>
      <c r="I636" t="s">
        <v>1935</v>
      </c>
      <c r="K636" t="s">
        <v>1936</v>
      </c>
      <c r="L636" s="29">
        <v>11.035</v>
      </c>
      <c r="M636" s="8">
        <v>43762</v>
      </c>
      <c r="N636">
        <v>10</v>
      </c>
      <c r="O636" t="s">
        <v>71</v>
      </c>
      <c r="P636">
        <v>2019</v>
      </c>
      <c r="Q636">
        <v>0.15029999999999999</v>
      </c>
      <c r="R636" s="10"/>
      <c r="S636">
        <f>ROUND(ТабCЕС[[#This Row],[Зелений Тариф ЕЦ]]+ТабCЕС[[#This Row],[Зелений Тариф ЕЦ]]*ТабCЕС[[#This Row],[% надбавки]],4)</f>
        <v>0.15029999999999999</v>
      </c>
      <c r="T636" s="8"/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3:52">
      <c r="C637" t="s">
        <v>58</v>
      </c>
      <c r="D637" t="s">
        <v>384</v>
      </c>
      <c r="F637" s="1" t="s">
        <v>1937</v>
      </c>
      <c r="G637" s="1" t="s">
        <v>1938</v>
      </c>
      <c r="H637" t="s">
        <v>65</v>
      </c>
      <c r="I637" t="s">
        <v>1939</v>
      </c>
      <c r="J637" t="s">
        <v>1939</v>
      </c>
      <c r="K637" t="s">
        <v>1940</v>
      </c>
      <c r="L637" s="29">
        <v>4.141</v>
      </c>
      <c r="M637" s="8">
        <v>43762</v>
      </c>
      <c r="N637">
        <v>10</v>
      </c>
      <c r="O637" t="s">
        <v>71</v>
      </c>
      <c r="P637">
        <v>2019</v>
      </c>
      <c r="Q637">
        <v>0.15029999999999999</v>
      </c>
      <c r="R637" s="10"/>
      <c r="S637">
        <f>ROUND(ТабCЕС[[#This Row],[Зелений Тариф ЕЦ]]+ТабCЕС[[#This Row],[Зелений Тариф ЕЦ]]*ТабCЕС[[#This Row],[% надбавки]],4)</f>
        <v>0.15029999999999999</v>
      </c>
      <c r="T637" s="8"/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3:52">
      <c r="C638" t="s">
        <v>58</v>
      </c>
      <c r="D638" t="s">
        <v>384</v>
      </c>
      <c r="F638" s="1" t="s">
        <v>1941</v>
      </c>
      <c r="G638" s="1" t="s">
        <v>1942</v>
      </c>
      <c r="H638" t="s">
        <v>122</v>
      </c>
      <c r="I638" t="s">
        <v>1806</v>
      </c>
      <c r="J638" t="s">
        <v>1943</v>
      </c>
      <c r="L638" s="29">
        <v>8.4640000000000004</v>
      </c>
      <c r="M638" s="8">
        <v>43762</v>
      </c>
      <c r="N638">
        <v>10</v>
      </c>
      <c r="O638" t="s">
        <v>71</v>
      </c>
      <c r="P638">
        <v>2019</v>
      </c>
      <c r="Q638">
        <v>0.15029999999999999</v>
      </c>
      <c r="R638" s="10"/>
      <c r="S638">
        <f>ROUND(ТабCЕС[[#This Row],[Зелений Тариф ЕЦ]]+ТабCЕС[[#This Row],[Зелений Тариф ЕЦ]]*ТабCЕС[[#This Row],[% надбавки]],4)</f>
        <v>0.15029999999999999</v>
      </c>
      <c r="T638" s="8"/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3:52">
      <c r="C639" t="s">
        <v>58</v>
      </c>
      <c r="D639" t="s">
        <v>384</v>
      </c>
      <c r="F639" s="1" t="s">
        <v>1944</v>
      </c>
      <c r="G639" s="1" t="s">
        <v>384</v>
      </c>
      <c r="H639" t="s">
        <v>122</v>
      </c>
      <c r="I639" t="s">
        <v>316</v>
      </c>
      <c r="K639" t="s">
        <v>1945</v>
      </c>
      <c r="L639" s="29">
        <v>6.9470000000000001</v>
      </c>
      <c r="M639" s="8">
        <v>43762</v>
      </c>
      <c r="N639">
        <v>10</v>
      </c>
      <c r="O639" t="s">
        <v>71</v>
      </c>
      <c r="P639">
        <v>2019</v>
      </c>
      <c r="Q639">
        <v>0.15029999999999999</v>
      </c>
      <c r="R639" s="10"/>
      <c r="S639">
        <f>ROUND(ТабCЕС[[#This Row],[Зелений Тариф ЕЦ]]+ТабCЕС[[#This Row],[Зелений Тариф ЕЦ]]*ТабCЕС[[#This Row],[% надбавки]],4)</f>
        <v>0.15029999999999999</v>
      </c>
      <c r="T639" s="8"/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3:52">
      <c r="C640" t="s">
        <v>58</v>
      </c>
      <c r="D640" t="s">
        <v>384</v>
      </c>
      <c r="F640" s="1" t="s">
        <v>1946</v>
      </c>
      <c r="G640" s="1" t="s">
        <v>384</v>
      </c>
      <c r="H640" t="s">
        <v>172</v>
      </c>
      <c r="I640" t="s">
        <v>1947</v>
      </c>
      <c r="J640" t="s">
        <v>1948</v>
      </c>
      <c r="K640" t="s">
        <v>1949</v>
      </c>
      <c r="L640" s="29">
        <v>5.5119999999999996</v>
      </c>
      <c r="M640" s="8">
        <v>43762</v>
      </c>
      <c r="N640">
        <v>10</v>
      </c>
      <c r="O640" t="s">
        <v>71</v>
      </c>
      <c r="P640">
        <v>2019</v>
      </c>
      <c r="Q640">
        <v>0.15029999999999999</v>
      </c>
      <c r="R640" s="10"/>
      <c r="S640">
        <f>ROUND(ТабCЕС[[#This Row],[Зелений Тариф ЕЦ]]+ТабCЕС[[#This Row],[Зелений Тариф ЕЦ]]*ТабCЕС[[#This Row],[% надбавки]],4)</f>
        <v>0.15029999999999999</v>
      </c>
      <c r="T640" s="8"/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3:32">
      <c r="C641" t="s">
        <v>58</v>
      </c>
      <c r="D641" t="s">
        <v>384</v>
      </c>
      <c r="F641" s="1" t="s">
        <v>1950</v>
      </c>
      <c r="G641" s="1" t="s">
        <v>384</v>
      </c>
      <c r="H641" t="s">
        <v>62</v>
      </c>
      <c r="I641" t="s">
        <v>555</v>
      </c>
      <c r="J641" t="s">
        <v>1951</v>
      </c>
      <c r="K641" t="s">
        <v>1952</v>
      </c>
      <c r="L641" s="29">
        <v>1.1579999999999999</v>
      </c>
      <c r="M641" s="8">
        <v>43762</v>
      </c>
      <c r="N641">
        <v>10</v>
      </c>
      <c r="O641" t="s">
        <v>71</v>
      </c>
      <c r="P641">
        <v>2019</v>
      </c>
      <c r="Q641">
        <v>0.15029999999999999</v>
      </c>
      <c r="R641" s="10"/>
      <c r="S641">
        <f>ROUND(ТабCЕС[[#This Row],[Зелений Тариф ЕЦ]]+ТабCЕС[[#This Row],[Зелений Тариф ЕЦ]]*ТабCЕС[[#This Row],[% надбавки]],4)</f>
        <v>0.15029999999999999</v>
      </c>
      <c r="T641" s="8"/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3:32">
      <c r="C642" t="s">
        <v>58</v>
      </c>
      <c r="D642" t="s">
        <v>384</v>
      </c>
      <c r="F642" s="1" t="s">
        <v>1953</v>
      </c>
      <c r="G642" s="1" t="s">
        <v>1954</v>
      </c>
      <c r="H642" t="s">
        <v>263</v>
      </c>
      <c r="I642" t="s">
        <v>1955</v>
      </c>
      <c r="J642" t="s">
        <v>1956</v>
      </c>
      <c r="K642" t="s">
        <v>1957</v>
      </c>
      <c r="L642" s="29">
        <v>1.1759999999999999</v>
      </c>
      <c r="M642" s="8">
        <v>43762</v>
      </c>
      <c r="N642">
        <v>10</v>
      </c>
      <c r="O642" t="s">
        <v>71</v>
      </c>
      <c r="P642">
        <v>2019</v>
      </c>
      <c r="Q642">
        <v>0.15029999999999999</v>
      </c>
      <c r="R642" s="10"/>
      <c r="S642">
        <f>ROUND(ТабCЕС[[#This Row],[Зелений Тариф ЕЦ]]+ТабCЕС[[#This Row],[Зелений Тариф ЕЦ]]*ТабCЕС[[#This Row],[% надбавки]],4)</f>
        <v>0.15029999999999999</v>
      </c>
      <c r="T642" s="8"/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3:32">
      <c r="C643" t="s">
        <v>58</v>
      </c>
      <c r="D643" t="s">
        <v>384</v>
      </c>
      <c r="F643" s="1" t="s">
        <v>1958</v>
      </c>
      <c r="G643" s="1" t="s">
        <v>384</v>
      </c>
      <c r="H643" t="s">
        <v>1465</v>
      </c>
      <c r="I643" t="s">
        <v>1959</v>
      </c>
      <c r="J643" t="s">
        <v>1959</v>
      </c>
      <c r="K643" t="s">
        <v>1960</v>
      </c>
      <c r="L643" s="29">
        <v>9.1999999999999998E-2</v>
      </c>
      <c r="M643" s="8">
        <v>43762</v>
      </c>
      <c r="N643">
        <v>10</v>
      </c>
      <c r="O643" t="s">
        <v>71</v>
      </c>
      <c r="P643">
        <v>2019</v>
      </c>
      <c r="Q643">
        <v>0.16370000000000001</v>
      </c>
      <c r="R643" s="10"/>
      <c r="S643">
        <f>ROUND(ТабCЕС[[#This Row],[Зелений Тариф ЕЦ]]+ТабCЕС[[#This Row],[Зелений Тариф ЕЦ]]*ТабCЕС[[#This Row],[% надбавки]],4)</f>
        <v>0.16370000000000001</v>
      </c>
      <c r="T643" s="8"/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3:32">
      <c r="C644" t="s">
        <v>58</v>
      </c>
      <c r="D644" t="s">
        <v>384</v>
      </c>
      <c r="F644" s="1" t="s">
        <v>1961</v>
      </c>
      <c r="G644" s="1" t="s">
        <v>384</v>
      </c>
      <c r="H644" t="s">
        <v>107</v>
      </c>
      <c r="I644" t="s">
        <v>108</v>
      </c>
      <c r="J644" t="s">
        <v>108</v>
      </c>
      <c r="K644" t="s">
        <v>1962</v>
      </c>
      <c r="L644" s="29">
        <v>7.1999999999999995E-2</v>
      </c>
      <c r="M644" s="8">
        <v>43762</v>
      </c>
      <c r="N644">
        <v>10</v>
      </c>
      <c r="O644" t="s">
        <v>71</v>
      </c>
      <c r="P644">
        <v>2019</v>
      </c>
      <c r="Q644">
        <v>0.16370000000000001</v>
      </c>
      <c r="R644" s="10"/>
      <c r="S644">
        <f>ROUND(ТабCЕС[[#This Row],[Зелений Тариф ЕЦ]]+ТабCЕС[[#This Row],[Зелений Тариф ЕЦ]]*ТабCЕС[[#This Row],[% надбавки]],4)</f>
        <v>0.16370000000000001</v>
      </c>
      <c r="T644" s="8"/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3:32" ht="25.5">
      <c r="C645" t="s">
        <v>58</v>
      </c>
      <c r="D645" t="s">
        <v>384</v>
      </c>
      <c r="F645" s="1" t="s">
        <v>1963</v>
      </c>
      <c r="G645" s="1" t="s">
        <v>1964</v>
      </c>
      <c r="H645" t="s">
        <v>98</v>
      </c>
      <c r="I645" t="s">
        <v>458</v>
      </c>
      <c r="J645" t="s">
        <v>1930</v>
      </c>
      <c r="K645" t="s">
        <v>1930</v>
      </c>
      <c r="L645" s="29">
        <v>15.537000000000001</v>
      </c>
      <c r="M645" s="8">
        <v>43762</v>
      </c>
      <c r="N645">
        <v>10</v>
      </c>
      <c r="O645" t="s">
        <v>71</v>
      </c>
      <c r="P645">
        <v>2019</v>
      </c>
      <c r="Q645">
        <v>0.15029999999999999</v>
      </c>
      <c r="R645" s="10"/>
      <c r="S645">
        <f>ROUND(ТабCЕС[[#This Row],[Зелений Тариф ЕЦ]]+ТабCЕС[[#This Row],[Зелений Тариф ЕЦ]]*ТабCЕС[[#This Row],[% надбавки]],4)</f>
        <v>0.15029999999999999</v>
      </c>
      <c r="T645" s="8"/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3:32">
      <c r="C646" t="s">
        <v>58</v>
      </c>
      <c r="D646" t="s">
        <v>384</v>
      </c>
      <c r="F646" s="1" t="s">
        <v>1965</v>
      </c>
      <c r="G646" s="1" t="s">
        <v>384</v>
      </c>
      <c r="H646" t="s">
        <v>62</v>
      </c>
      <c r="I646" t="s">
        <v>1966</v>
      </c>
      <c r="K646" t="s">
        <v>1967</v>
      </c>
      <c r="L646" s="29">
        <v>0.17599999999999999</v>
      </c>
      <c r="M646" s="8">
        <v>43762</v>
      </c>
      <c r="N646">
        <v>10</v>
      </c>
      <c r="O646" t="s">
        <v>71</v>
      </c>
      <c r="P646">
        <v>2019</v>
      </c>
      <c r="Q646">
        <v>0.16370000000000001</v>
      </c>
      <c r="R646" s="10"/>
      <c r="S646">
        <f>ROUND(ТабCЕС[[#This Row],[Зелений Тариф ЕЦ]]+ТабCЕС[[#This Row],[Зелений Тариф ЕЦ]]*ТабCЕС[[#This Row],[% надбавки]],4)</f>
        <v>0.16370000000000001</v>
      </c>
      <c r="T646" s="8"/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3:32">
      <c r="C647" t="s">
        <v>58</v>
      </c>
      <c r="D647" t="s">
        <v>384</v>
      </c>
      <c r="F647" s="1" t="s">
        <v>1968</v>
      </c>
      <c r="G647" s="1" t="s">
        <v>1969</v>
      </c>
      <c r="H647" t="s">
        <v>65</v>
      </c>
      <c r="I647" t="s">
        <v>1970</v>
      </c>
      <c r="J647" t="s">
        <v>1971</v>
      </c>
      <c r="K647" t="s">
        <v>1972</v>
      </c>
      <c r="L647" s="29">
        <v>12.946999999999999</v>
      </c>
      <c r="M647" s="8">
        <v>43773</v>
      </c>
      <c r="N647">
        <v>10</v>
      </c>
      <c r="O647" t="s">
        <v>71</v>
      </c>
      <c r="P647">
        <v>2019</v>
      </c>
      <c r="Q647">
        <v>0.15029999999999999</v>
      </c>
      <c r="R647" s="10">
        <v>0.05</v>
      </c>
      <c r="S647">
        <f>ROUND(ТабCЕС[[#This Row],[Зелений Тариф ЕЦ]]+ТабCЕС[[#This Row],[Зелений Тариф ЕЦ]]*ТабCЕС[[#This Row],[% надбавки]],4)</f>
        <v>0.1578</v>
      </c>
      <c r="T647" s="8">
        <v>43813</v>
      </c>
    </row>
    <row r="648" spans="3:32">
      <c r="C648" t="s">
        <v>58</v>
      </c>
      <c r="D648" t="s">
        <v>384</v>
      </c>
      <c r="F648" s="1" t="s">
        <v>1973</v>
      </c>
      <c r="G648" s="1" t="s">
        <v>1974</v>
      </c>
      <c r="H648" t="s">
        <v>107</v>
      </c>
      <c r="I648" t="s">
        <v>1975</v>
      </c>
      <c r="K648" t="s">
        <v>1976</v>
      </c>
      <c r="L648" s="29">
        <v>4.0220000000000002</v>
      </c>
      <c r="M648" s="8">
        <v>43773</v>
      </c>
      <c r="N648">
        <v>10</v>
      </c>
      <c r="O648" t="s">
        <v>71</v>
      </c>
      <c r="P648">
        <v>2019</v>
      </c>
      <c r="Q648">
        <v>0.15029999999999999</v>
      </c>
      <c r="R648" s="10"/>
      <c r="S648">
        <f>ROUND(ТабCЕС[[#This Row],[Зелений Тариф ЕЦ]]+ТабCЕС[[#This Row],[Зелений Тариф ЕЦ]]*ТабCЕС[[#This Row],[% надбавки]],4)</f>
        <v>0.15029999999999999</v>
      </c>
      <c r="T648" s="8"/>
    </row>
    <row r="649" spans="3:32">
      <c r="C649" t="s">
        <v>58</v>
      </c>
      <c r="D649" t="s">
        <v>384</v>
      </c>
      <c r="F649" s="1" t="s">
        <v>1977</v>
      </c>
      <c r="G649" s="1" t="s">
        <v>1673</v>
      </c>
      <c r="H649" t="s">
        <v>198</v>
      </c>
      <c r="I649" t="s">
        <v>1978</v>
      </c>
      <c r="J649" t="s">
        <v>1979</v>
      </c>
      <c r="K649" t="s">
        <v>1980</v>
      </c>
      <c r="L649" s="29">
        <v>0.56699999999999995</v>
      </c>
      <c r="M649" s="8">
        <v>43773</v>
      </c>
      <c r="N649">
        <v>10</v>
      </c>
      <c r="O649" t="s">
        <v>71</v>
      </c>
      <c r="P649">
        <v>2019</v>
      </c>
      <c r="Q649">
        <v>0.15029999999999999</v>
      </c>
      <c r="R649" s="10"/>
      <c r="S649">
        <f>ROUND(ТабCЕС[[#This Row],[Зелений Тариф ЕЦ]]+ТабCЕС[[#This Row],[Зелений Тариф ЕЦ]]*ТабCЕС[[#This Row],[% надбавки]],4)</f>
        <v>0.15029999999999999</v>
      </c>
      <c r="T649" s="8"/>
    </row>
    <row r="650" spans="3:32">
      <c r="C650" t="s">
        <v>58</v>
      </c>
      <c r="D650" t="s">
        <v>384</v>
      </c>
      <c r="F650" s="1" t="s">
        <v>1981</v>
      </c>
      <c r="G650" s="1" t="s">
        <v>1673</v>
      </c>
      <c r="H650" t="s">
        <v>233</v>
      </c>
      <c r="I650" t="s">
        <v>1982</v>
      </c>
      <c r="J650" t="s">
        <v>1983</v>
      </c>
      <c r="L650" s="29">
        <v>6.9690000000000003</v>
      </c>
      <c r="M650" s="8">
        <v>43773</v>
      </c>
      <c r="N650">
        <v>10</v>
      </c>
      <c r="O650" t="s">
        <v>71</v>
      </c>
      <c r="P650">
        <v>2019</v>
      </c>
      <c r="Q650">
        <v>0.15029999999999999</v>
      </c>
      <c r="R650" s="10"/>
      <c r="S650">
        <f>ROUND(ТабCЕС[[#This Row],[Зелений Тариф ЕЦ]]+ТабCЕС[[#This Row],[Зелений Тариф ЕЦ]]*ТабCЕС[[#This Row],[% надбавки]],4)</f>
        <v>0.15029999999999999</v>
      </c>
      <c r="T650" s="8"/>
    </row>
    <row r="651" spans="3:32">
      <c r="C651" t="s">
        <v>58</v>
      </c>
      <c r="D651" t="s">
        <v>384</v>
      </c>
      <c r="F651" s="1" t="s">
        <v>1984</v>
      </c>
      <c r="G651" s="1" t="s">
        <v>384</v>
      </c>
      <c r="H651" t="s">
        <v>82</v>
      </c>
      <c r="K651" t="s">
        <v>1985</v>
      </c>
      <c r="L651" s="29">
        <v>6.4980000000000002</v>
      </c>
      <c r="M651" s="8">
        <v>43773</v>
      </c>
      <c r="N651">
        <v>10</v>
      </c>
      <c r="O651" t="s">
        <v>71</v>
      </c>
      <c r="P651">
        <v>2019</v>
      </c>
      <c r="Q651">
        <v>0.15029999999999999</v>
      </c>
      <c r="R651" s="10"/>
      <c r="S651">
        <f>ROUND(ТабCЕС[[#This Row],[Зелений Тариф ЕЦ]]+ТабCЕС[[#This Row],[Зелений Тариф ЕЦ]]*ТабCЕС[[#This Row],[% надбавки]],4)</f>
        <v>0.15029999999999999</v>
      </c>
      <c r="T651" s="8"/>
    </row>
    <row r="652" spans="3:32">
      <c r="C652" t="s">
        <v>58</v>
      </c>
      <c r="D652" t="s">
        <v>384</v>
      </c>
      <c r="F652" s="1" t="s">
        <v>1986</v>
      </c>
      <c r="G652" s="1" t="s">
        <v>1987</v>
      </c>
      <c r="H652" t="s">
        <v>136</v>
      </c>
      <c r="K652" t="s">
        <v>1988</v>
      </c>
      <c r="L652" s="29">
        <v>1.0209999999999999</v>
      </c>
      <c r="M652" s="8">
        <v>43773</v>
      </c>
      <c r="N652">
        <v>10</v>
      </c>
      <c r="O652" t="s">
        <v>71</v>
      </c>
      <c r="P652">
        <v>2019</v>
      </c>
      <c r="Q652">
        <v>0.15029999999999999</v>
      </c>
      <c r="R652" s="10"/>
      <c r="S652">
        <f>ROUND(ТабCЕС[[#This Row],[Зелений Тариф ЕЦ]]+ТабCЕС[[#This Row],[Зелений Тариф ЕЦ]]*ТабCЕС[[#This Row],[% надбавки]],4)</f>
        <v>0.15029999999999999</v>
      </c>
      <c r="T652" s="8"/>
    </row>
    <row r="653" spans="3:32">
      <c r="C653" t="s">
        <v>58</v>
      </c>
      <c r="D653" t="s">
        <v>384</v>
      </c>
      <c r="F653" s="1" t="s">
        <v>1989</v>
      </c>
      <c r="G653" s="1" t="s">
        <v>1990</v>
      </c>
      <c r="H653" t="s">
        <v>233</v>
      </c>
      <c r="K653" t="s">
        <v>1991</v>
      </c>
      <c r="L653" s="29">
        <v>6.2370000000000001</v>
      </c>
      <c r="M653" s="8">
        <v>43773</v>
      </c>
      <c r="N653">
        <v>10</v>
      </c>
      <c r="O653" t="s">
        <v>71</v>
      </c>
      <c r="P653">
        <v>2019</v>
      </c>
      <c r="Q653">
        <v>0.15029999999999999</v>
      </c>
      <c r="R653" s="10"/>
      <c r="S653">
        <f>ROUND(ТабCЕС[[#This Row],[Зелений Тариф ЕЦ]]+ТабCЕС[[#This Row],[Зелений Тариф ЕЦ]]*ТабCЕС[[#This Row],[% надбавки]],4)</f>
        <v>0.15029999999999999</v>
      </c>
      <c r="T653" s="8"/>
    </row>
    <row r="654" spans="3:32">
      <c r="C654" t="s">
        <v>58</v>
      </c>
      <c r="D654" t="s">
        <v>384</v>
      </c>
      <c r="F654" s="1" t="s">
        <v>1992</v>
      </c>
      <c r="G654" s="1" t="s">
        <v>384</v>
      </c>
      <c r="H654" t="s">
        <v>185</v>
      </c>
      <c r="K654" t="s">
        <v>1993</v>
      </c>
      <c r="L654" s="29">
        <v>1.7549999999999999</v>
      </c>
      <c r="M654" s="8">
        <v>43773</v>
      </c>
      <c r="N654">
        <v>10</v>
      </c>
      <c r="O654" t="s">
        <v>71</v>
      </c>
      <c r="P654">
        <v>2019</v>
      </c>
      <c r="Q654">
        <v>0.15029999999999999</v>
      </c>
      <c r="R654" s="10"/>
      <c r="S654">
        <f>ROUND(ТабCЕС[[#This Row],[Зелений Тариф ЕЦ]]+ТабCЕС[[#This Row],[Зелений Тариф ЕЦ]]*ТабCЕС[[#This Row],[% надбавки]],4)</f>
        <v>0.15029999999999999</v>
      </c>
      <c r="T654" s="8"/>
    </row>
    <row r="655" spans="3:32">
      <c r="C655" t="s">
        <v>58</v>
      </c>
      <c r="D655" t="s">
        <v>384</v>
      </c>
      <c r="F655" s="1" t="s">
        <v>1994</v>
      </c>
      <c r="G655" s="1" t="s">
        <v>1995</v>
      </c>
      <c r="H655" t="s">
        <v>82</v>
      </c>
      <c r="K655" t="s">
        <v>1996</v>
      </c>
      <c r="L655" s="29">
        <v>3.96</v>
      </c>
      <c r="M655" s="8">
        <v>43773</v>
      </c>
      <c r="N655">
        <v>10</v>
      </c>
      <c r="O655" t="s">
        <v>71</v>
      </c>
      <c r="P655">
        <v>2019</v>
      </c>
      <c r="Q655">
        <v>0.15029999999999999</v>
      </c>
      <c r="R655" s="10"/>
      <c r="S655">
        <f>ROUND(ТабCЕС[[#This Row],[Зелений Тариф ЕЦ]]+ТабCЕС[[#This Row],[Зелений Тариф ЕЦ]]*ТабCЕС[[#This Row],[% надбавки]],4)</f>
        <v>0.15029999999999999</v>
      </c>
      <c r="T655" s="8"/>
    </row>
    <row r="656" spans="3:32">
      <c r="C656" t="s">
        <v>58</v>
      </c>
      <c r="D656" t="s">
        <v>384</v>
      </c>
      <c r="F656" s="1" t="s">
        <v>1997</v>
      </c>
      <c r="G656" s="1" t="s">
        <v>1998</v>
      </c>
      <c r="H656" t="s">
        <v>62</v>
      </c>
      <c r="K656" t="s">
        <v>1999</v>
      </c>
      <c r="L656" s="29">
        <v>0.32700000000000001</v>
      </c>
      <c r="M656" s="8">
        <v>43773</v>
      </c>
      <c r="N656">
        <v>10</v>
      </c>
      <c r="O656" t="s">
        <v>71</v>
      </c>
      <c r="P656">
        <v>2019</v>
      </c>
      <c r="Q656">
        <v>0.16370000000000001</v>
      </c>
      <c r="R656" s="10"/>
      <c r="S656">
        <f>ROUND(ТабCЕС[[#This Row],[Зелений Тариф ЕЦ]]+ТабCЕС[[#This Row],[Зелений Тариф ЕЦ]]*ТабCЕС[[#This Row],[% надбавки]],4)</f>
        <v>0.16370000000000001</v>
      </c>
      <c r="T656" s="8"/>
    </row>
    <row r="657" spans="3:20">
      <c r="C657" t="s">
        <v>58</v>
      </c>
      <c r="D657" t="s">
        <v>384</v>
      </c>
      <c r="F657" s="1" t="s">
        <v>2000</v>
      </c>
      <c r="H657" t="s">
        <v>122</v>
      </c>
      <c r="K657" t="s">
        <v>2001</v>
      </c>
      <c r="L657" s="29">
        <v>0.16500000000000001</v>
      </c>
      <c r="M657" s="8">
        <v>43773</v>
      </c>
      <c r="N657">
        <v>10</v>
      </c>
      <c r="O657" t="s">
        <v>71</v>
      </c>
      <c r="P657">
        <v>2019</v>
      </c>
      <c r="Q657">
        <v>0.16370000000000001</v>
      </c>
      <c r="R657" s="10"/>
      <c r="S657">
        <f>ROUND(ТабCЕС[[#This Row],[Зелений Тариф ЕЦ]]+ТабCЕС[[#This Row],[Зелений Тариф ЕЦ]]*ТабCЕС[[#This Row],[% надбавки]],4)</f>
        <v>0.16370000000000001</v>
      </c>
      <c r="T657" s="8"/>
    </row>
    <row r="658" spans="3:20">
      <c r="C658" t="s">
        <v>58</v>
      </c>
      <c r="D658" t="s">
        <v>384</v>
      </c>
      <c r="F658" s="1" t="s">
        <v>1675</v>
      </c>
      <c r="G658" s="1" t="s">
        <v>2002</v>
      </c>
      <c r="H658" t="s">
        <v>163</v>
      </c>
      <c r="K658" t="s">
        <v>2003</v>
      </c>
      <c r="L658" s="29">
        <v>0.46899999999999997</v>
      </c>
      <c r="M658" s="8">
        <v>43773</v>
      </c>
      <c r="N658">
        <v>10</v>
      </c>
      <c r="O658" t="s">
        <v>71</v>
      </c>
      <c r="P658">
        <v>2019</v>
      </c>
      <c r="Q658">
        <v>0.15029999999999999</v>
      </c>
      <c r="R658" s="10"/>
      <c r="S658">
        <f>ROUND(ТабCЕС[[#This Row],[Зелений Тариф ЕЦ]]+ТабCЕС[[#This Row],[Зелений Тариф ЕЦ]]*ТабCЕС[[#This Row],[% надбавки]],4)</f>
        <v>0.15029999999999999</v>
      </c>
      <c r="T658" s="8"/>
    </row>
    <row r="659" spans="3:20">
      <c r="C659" t="s">
        <v>58</v>
      </c>
      <c r="D659" t="s">
        <v>384</v>
      </c>
      <c r="F659" s="1" t="s">
        <v>1721</v>
      </c>
      <c r="G659" s="1" t="s">
        <v>2004</v>
      </c>
      <c r="H659" t="s">
        <v>198</v>
      </c>
      <c r="K659" t="s">
        <v>2005</v>
      </c>
      <c r="L659" s="29">
        <v>2.7970000000000002</v>
      </c>
      <c r="M659" s="8">
        <v>43773</v>
      </c>
      <c r="N659">
        <v>10</v>
      </c>
      <c r="O659" t="s">
        <v>71</v>
      </c>
      <c r="P659">
        <v>2019</v>
      </c>
      <c r="Q659">
        <v>0.15029999999999999</v>
      </c>
      <c r="R659" s="10"/>
      <c r="S659">
        <f>ROUND(ТабCЕС[[#This Row],[Зелений Тариф ЕЦ]]+ТабCЕС[[#This Row],[Зелений Тариф ЕЦ]]*ТабCЕС[[#This Row],[% надбавки]],4)</f>
        <v>0.15029999999999999</v>
      </c>
      <c r="T659" s="8"/>
    </row>
    <row r="660" spans="3:20">
      <c r="C660" t="s">
        <v>58</v>
      </c>
      <c r="D660" t="s">
        <v>384</v>
      </c>
      <c r="F660" s="1" t="s">
        <v>2006</v>
      </c>
      <c r="G660" s="1" t="s">
        <v>384</v>
      </c>
      <c r="H660" t="s">
        <v>198</v>
      </c>
      <c r="K660" t="s">
        <v>2007</v>
      </c>
      <c r="L660" s="29">
        <v>0.2</v>
      </c>
      <c r="M660" s="8">
        <v>43773</v>
      </c>
      <c r="N660">
        <v>10</v>
      </c>
      <c r="O660" t="s">
        <v>71</v>
      </c>
      <c r="P660">
        <v>2019</v>
      </c>
      <c r="Q660">
        <v>0.16370000000000001</v>
      </c>
      <c r="R660" s="10"/>
      <c r="S660">
        <f>ROUND(ТабCЕС[[#This Row],[Зелений Тариф ЕЦ]]+ТабCЕС[[#This Row],[Зелений Тариф ЕЦ]]*ТабCЕС[[#This Row],[% надбавки]],4)</f>
        <v>0.16370000000000001</v>
      </c>
      <c r="T660" s="8"/>
    </row>
    <row r="661" spans="3:20">
      <c r="C661" t="s">
        <v>58</v>
      </c>
      <c r="D661" t="s">
        <v>384</v>
      </c>
      <c r="F661" s="1" t="s">
        <v>2008</v>
      </c>
      <c r="H661" t="s">
        <v>73</v>
      </c>
      <c r="K661" t="s">
        <v>2009</v>
      </c>
      <c r="L661" s="29">
        <v>0.2</v>
      </c>
      <c r="M661" s="8">
        <v>43773</v>
      </c>
      <c r="N661">
        <v>10</v>
      </c>
      <c r="O661" t="s">
        <v>71</v>
      </c>
      <c r="P661">
        <v>2019</v>
      </c>
      <c r="Q661">
        <v>0.16370000000000001</v>
      </c>
      <c r="R661" s="10"/>
      <c r="S661">
        <f>ROUND(ТабCЕС[[#This Row],[Зелений Тариф ЕЦ]]+ТабCЕС[[#This Row],[Зелений Тариф ЕЦ]]*ТабCЕС[[#This Row],[% надбавки]],4)</f>
        <v>0.16370000000000001</v>
      </c>
      <c r="T661" s="8"/>
    </row>
    <row r="662" spans="3:20">
      <c r="C662" t="s">
        <v>58</v>
      </c>
      <c r="D662" t="s">
        <v>384</v>
      </c>
      <c r="F662" s="1" t="s">
        <v>2010</v>
      </c>
      <c r="G662" s="1" t="s">
        <v>2011</v>
      </c>
      <c r="H662" t="s">
        <v>233</v>
      </c>
      <c r="K662" t="s">
        <v>2012</v>
      </c>
      <c r="L662" s="29">
        <v>0.76100000000000001</v>
      </c>
      <c r="M662" s="8">
        <v>43773</v>
      </c>
      <c r="N662">
        <v>10</v>
      </c>
      <c r="O662" t="s">
        <v>71</v>
      </c>
      <c r="P662">
        <v>2019</v>
      </c>
      <c r="Q662">
        <v>0.16370000000000001</v>
      </c>
      <c r="R662" s="10"/>
      <c r="S662">
        <f>ROUND(ТабCЕС[[#This Row],[Зелений Тариф ЕЦ]]+ТабCЕС[[#This Row],[Зелений Тариф ЕЦ]]*ТабCЕС[[#This Row],[% надбавки]],4)</f>
        <v>0.16370000000000001</v>
      </c>
      <c r="T662" s="8"/>
    </row>
    <row r="663" spans="3:20">
      <c r="C663" t="s">
        <v>58</v>
      </c>
      <c r="D663" t="s">
        <v>384</v>
      </c>
      <c r="F663" s="1" t="s">
        <v>2013</v>
      </c>
      <c r="G663" s="1" t="s">
        <v>384</v>
      </c>
      <c r="H663" t="s">
        <v>82</v>
      </c>
      <c r="K663" t="s">
        <v>2014</v>
      </c>
      <c r="L663" s="7">
        <v>21.219000000000001</v>
      </c>
      <c r="M663" s="8">
        <v>43783</v>
      </c>
      <c r="N663">
        <v>11</v>
      </c>
      <c r="O663" t="s">
        <v>71</v>
      </c>
      <c r="P663">
        <v>2019</v>
      </c>
      <c r="Q663">
        <v>0.15029999999999999</v>
      </c>
      <c r="R663" s="10"/>
      <c r="S663">
        <f>ROUND(ТабCЕС[[#This Row],[Зелений Тариф ЕЦ]]+ТабCЕС[[#This Row],[Зелений Тариф ЕЦ]]*ТабCЕС[[#This Row],[% надбавки]],4)</f>
        <v>0.15029999999999999</v>
      </c>
      <c r="T663" s="8"/>
    </row>
    <row r="664" spans="3:20">
      <c r="C664" t="s">
        <v>58</v>
      </c>
      <c r="D664" t="s">
        <v>384</v>
      </c>
      <c r="F664" s="1" t="s">
        <v>2015</v>
      </c>
      <c r="H664" t="s">
        <v>82</v>
      </c>
      <c r="K664" t="s">
        <v>2016</v>
      </c>
      <c r="L664" s="7">
        <v>4.9139999999999997</v>
      </c>
      <c r="M664" s="8">
        <v>43783</v>
      </c>
      <c r="N664">
        <v>11</v>
      </c>
      <c r="O664" t="s">
        <v>71</v>
      </c>
      <c r="P664">
        <v>2019</v>
      </c>
      <c r="Q664">
        <v>0.15029999999999999</v>
      </c>
      <c r="R664" s="10"/>
      <c r="S664">
        <f>ROUND(ТабCЕС[[#This Row],[Зелений Тариф ЕЦ]]+ТабCЕС[[#This Row],[Зелений Тариф ЕЦ]]*ТабCЕС[[#This Row],[% надбавки]],4)</f>
        <v>0.15029999999999999</v>
      </c>
      <c r="T664" s="8"/>
    </row>
    <row r="665" spans="3:20">
      <c r="C665" t="s">
        <v>58</v>
      </c>
      <c r="D665" t="s">
        <v>384</v>
      </c>
      <c r="F665" s="1" t="s">
        <v>2017</v>
      </c>
      <c r="G665" s="1" t="s">
        <v>2018</v>
      </c>
      <c r="H665" t="s">
        <v>172</v>
      </c>
      <c r="K665" t="s">
        <v>2019</v>
      </c>
      <c r="L665" s="7">
        <v>6.4989999999999997</v>
      </c>
      <c r="M665" s="8">
        <v>43783</v>
      </c>
      <c r="N665">
        <v>11</v>
      </c>
      <c r="O665" t="s">
        <v>71</v>
      </c>
      <c r="P665">
        <v>2019</v>
      </c>
      <c r="Q665">
        <v>0.15029999999999999</v>
      </c>
      <c r="R665" s="10">
        <v>0.05</v>
      </c>
      <c r="S665">
        <f>ROUND(ТабCЕС[[#This Row],[Зелений Тариф ЕЦ]]+ТабCЕС[[#This Row],[Зелений Тариф ЕЦ]]*ТабCЕС[[#This Row],[% надбавки]],4)</f>
        <v>0.1578</v>
      </c>
      <c r="T665" s="8">
        <v>44185</v>
      </c>
    </row>
    <row r="666" spans="3:20">
      <c r="D666" t="s">
        <v>384</v>
      </c>
      <c r="F666" s="1" t="s">
        <v>2020</v>
      </c>
      <c r="G666" s="1" t="s">
        <v>384</v>
      </c>
      <c r="H666" t="s">
        <v>198</v>
      </c>
      <c r="K666" t="s">
        <v>2021</v>
      </c>
      <c r="L666" s="7">
        <v>0.96</v>
      </c>
      <c r="M666" s="8">
        <v>43783</v>
      </c>
      <c r="N666">
        <v>11</v>
      </c>
      <c r="O666" t="s">
        <v>71</v>
      </c>
      <c r="P666">
        <v>2019</v>
      </c>
      <c r="Q666">
        <v>0.15029999999999999</v>
      </c>
      <c r="R666" s="10"/>
      <c r="S666">
        <f>ROUND(ТабCЕС[[#This Row],[Зелений Тариф ЕЦ]]+ТабCЕС[[#This Row],[Зелений Тариф ЕЦ]]*ТабCЕС[[#This Row],[% надбавки]],4)</f>
        <v>0.15029999999999999</v>
      </c>
      <c r="T666" s="8"/>
    </row>
    <row r="667" spans="3:20">
      <c r="D667" t="s">
        <v>384</v>
      </c>
      <c r="F667" s="1" t="s">
        <v>2022</v>
      </c>
      <c r="G667" s="1" t="s">
        <v>384</v>
      </c>
      <c r="H667" t="s">
        <v>101</v>
      </c>
      <c r="K667" t="s">
        <v>2023</v>
      </c>
      <c r="L667" s="7">
        <v>3.222</v>
      </c>
      <c r="M667" s="8">
        <v>43783</v>
      </c>
      <c r="N667">
        <v>11</v>
      </c>
      <c r="O667" t="s">
        <v>71</v>
      </c>
      <c r="P667">
        <v>2019</v>
      </c>
      <c r="Q667">
        <v>0.15029999999999999</v>
      </c>
      <c r="R667" s="10"/>
      <c r="S667">
        <f>ROUND(ТабCЕС[[#This Row],[Зелений Тариф ЕЦ]]+ТабCЕС[[#This Row],[Зелений Тариф ЕЦ]]*ТабCЕС[[#This Row],[% надбавки]],4)</f>
        <v>0.15029999999999999</v>
      </c>
      <c r="T667" s="8"/>
    </row>
    <row r="668" spans="3:20">
      <c r="D668" t="s">
        <v>384</v>
      </c>
      <c r="F668" s="1" t="s">
        <v>2024</v>
      </c>
      <c r="G668" s="1" t="s">
        <v>2025</v>
      </c>
      <c r="H668" t="s">
        <v>122</v>
      </c>
      <c r="I668" t="s">
        <v>646</v>
      </c>
      <c r="K668" t="s">
        <v>2026</v>
      </c>
      <c r="L668" s="7">
        <v>6.1689999999999996</v>
      </c>
      <c r="M668" s="8">
        <v>43783</v>
      </c>
      <c r="N668">
        <v>11</v>
      </c>
      <c r="O668" t="s">
        <v>71</v>
      </c>
      <c r="P668">
        <v>2019</v>
      </c>
      <c r="Q668">
        <v>0.15029999999999999</v>
      </c>
      <c r="R668" s="10"/>
      <c r="S668">
        <f>ROUND(ТабCЕС[[#This Row],[Зелений Тариф ЕЦ]]+ТабCЕС[[#This Row],[Зелений Тариф ЕЦ]]*ТабCЕС[[#This Row],[% надбавки]],4)</f>
        <v>0.15029999999999999</v>
      </c>
      <c r="T668" s="8"/>
    </row>
    <row r="669" spans="3:20">
      <c r="D669" t="s">
        <v>384</v>
      </c>
      <c r="F669" s="1" t="s">
        <v>2027</v>
      </c>
      <c r="G669" s="1" t="s">
        <v>384</v>
      </c>
      <c r="H669" t="s">
        <v>185</v>
      </c>
      <c r="K669" t="s">
        <v>2028</v>
      </c>
      <c r="L669" s="7">
        <v>2.3679999999999999</v>
      </c>
      <c r="M669" s="8">
        <v>43783</v>
      </c>
      <c r="N669">
        <v>11</v>
      </c>
      <c r="O669" t="s">
        <v>71</v>
      </c>
      <c r="P669">
        <v>2019</v>
      </c>
      <c r="Q669">
        <v>0.15029999999999999</v>
      </c>
      <c r="R669" s="10"/>
      <c r="S669">
        <f>ROUND(ТабCЕС[[#This Row],[Зелений Тариф ЕЦ]]+ТабCЕС[[#This Row],[Зелений Тариф ЕЦ]]*ТабCЕС[[#This Row],[% надбавки]],4)</f>
        <v>0.15029999999999999</v>
      </c>
      <c r="T669" s="8"/>
    </row>
    <row r="670" spans="3:20">
      <c r="D670" t="s">
        <v>384</v>
      </c>
      <c r="F670" s="1" t="s">
        <v>2029</v>
      </c>
      <c r="G670" s="1" t="s">
        <v>2030</v>
      </c>
      <c r="H670" t="s">
        <v>107</v>
      </c>
      <c r="I670" t="s">
        <v>2031</v>
      </c>
      <c r="K670" t="s">
        <v>2032</v>
      </c>
      <c r="L670" s="7">
        <v>4.7830000000000004</v>
      </c>
      <c r="M670" s="8">
        <v>43783</v>
      </c>
      <c r="N670">
        <v>11</v>
      </c>
      <c r="O670" t="s">
        <v>71</v>
      </c>
      <c r="P670">
        <v>2019</v>
      </c>
      <c r="Q670">
        <v>0.15029999999999999</v>
      </c>
      <c r="R670" s="10"/>
      <c r="S670">
        <f>ROUND(ТабCЕС[[#This Row],[Зелений Тариф ЕЦ]]+ТабCЕС[[#This Row],[Зелений Тариф ЕЦ]]*ТабCЕС[[#This Row],[% надбавки]],4)</f>
        <v>0.15029999999999999</v>
      </c>
      <c r="T670" s="8"/>
    </row>
    <row r="671" spans="3:20">
      <c r="D671" t="s">
        <v>384</v>
      </c>
      <c r="F671" s="1" t="s">
        <v>2033</v>
      </c>
      <c r="G671" s="1" t="s">
        <v>384</v>
      </c>
      <c r="H671" t="s">
        <v>65</v>
      </c>
      <c r="K671" t="s">
        <v>2034</v>
      </c>
      <c r="L671" s="7">
        <v>2.4950000000000001</v>
      </c>
      <c r="M671" s="8">
        <v>43783</v>
      </c>
      <c r="N671">
        <v>11</v>
      </c>
      <c r="O671" t="s">
        <v>71</v>
      </c>
      <c r="P671">
        <v>2019</v>
      </c>
      <c r="Q671">
        <v>0.15029999999999999</v>
      </c>
      <c r="R671" s="10"/>
      <c r="S671">
        <f>ROUND(ТабCЕС[[#This Row],[Зелений Тариф ЕЦ]]+ТабCЕС[[#This Row],[Зелений Тариф ЕЦ]]*ТабCЕС[[#This Row],[% надбавки]],4)</f>
        <v>0.15029999999999999</v>
      </c>
      <c r="T671" s="8"/>
    </row>
    <row r="672" spans="3:20">
      <c r="D672" t="s">
        <v>384</v>
      </c>
      <c r="F672" s="1" t="s">
        <v>2035</v>
      </c>
      <c r="G672" s="1" t="s">
        <v>384</v>
      </c>
      <c r="H672" t="s">
        <v>65</v>
      </c>
      <c r="K672" t="s">
        <v>2036</v>
      </c>
      <c r="L672" s="7">
        <v>0.876</v>
      </c>
      <c r="M672" s="8">
        <v>43783</v>
      </c>
      <c r="N672">
        <v>11</v>
      </c>
      <c r="O672" t="s">
        <v>71</v>
      </c>
      <c r="P672">
        <v>2019</v>
      </c>
      <c r="Q672">
        <v>0.15029999999999999</v>
      </c>
      <c r="R672" s="10"/>
      <c r="S672">
        <f>ROUND(ТабCЕС[[#This Row],[Зелений Тариф ЕЦ]]+ТабCЕС[[#This Row],[Зелений Тариф ЕЦ]]*ТабCЕС[[#This Row],[% надбавки]],4)</f>
        <v>0.15029999999999999</v>
      </c>
      <c r="T672" s="8"/>
    </row>
    <row r="673" spans="4:20">
      <c r="D673" t="s">
        <v>384</v>
      </c>
      <c r="F673" s="1" t="s">
        <v>2037</v>
      </c>
      <c r="G673" s="1" t="s">
        <v>384</v>
      </c>
      <c r="H673" t="s">
        <v>65</v>
      </c>
      <c r="K673" t="s">
        <v>2038</v>
      </c>
      <c r="L673" s="7">
        <v>1.198</v>
      </c>
      <c r="M673" s="8">
        <v>43783</v>
      </c>
      <c r="N673">
        <v>11</v>
      </c>
      <c r="O673" t="s">
        <v>71</v>
      </c>
      <c r="P673">
        <v>2019</v>
      </c>
      <c r="Q673">
        <v>0.15029999999999999</v>
      </c>
      <c r="R673" s="10"/>
      <c r="S673">
        <f>ROUND(ТабCЕС[[#This Row],[Зелений Тариф ЕЦ]]+ТабCЕС[[#This Row],[Зелений Тариф ЕЦ]]*ТабCЕС[[#This Row],[% надбавки]],4)</f>
        <v>0.15029999999999999</v>
      </c>
      <c r="T673" s="8"/>
    </row>
    <row r="674" spans="4:20">
      <c r="D674" t="s">
        <v>384</v>
      </c>
      <c r="F674" s="1" t="s">
        <v>2039</v>
      </c>
      <c r="G674" s="1" t="s">
        <v>1876</v>
      </c>
      <c r="H674" t="s">
        <v>107</v>
      </c>
      <c r="K674" t="s">
        <v>2040</v>
      </c>
      <c r="L674" s="7">
        <v>1.153</v>
      </c>
      <c r="M674" s="8">
        <v>43783</v>
      </c>
      <c r="N674">
        <v>11</v>
      </c>
      <c r="O674" t="s">
        <v>71</v>
      </c>
      <c r="P674">
        <v>2019</v>
      </c>
      <c r="Q674">
        <v>0.15029999999999999</v>
      </c>
      <c r="R674" s="10"/>
      <c r="S674">
        <f>ROUND(ТабCЕС[[#This Row],[Зелений Тариф ЕЦ]]+ТабCЕС[[#This Row],[Зелений Тариф ЕЦ]]*ТабCЕС[[#This Row],[% надбавки]],4)</f>
        <v>0.15029999999999999</v>
      </c>
      <c r="T674" s="8"/>
    </row>
    <row r="675" spans="4:20">
      <c r="D675" t="s">
        <v>384</v>
      </c>
      <c r="F675" s="1" t="s">
        <v>2041</v>
      </c>
      <c r="G675" s="1" t="s">
        <v>384</v>
      </c>
      <c r="H675" t="s">
        <v>65</v>
      </c>
      <c r="K675" t="s">
        <v>2042</v>
      </c>
      <c r="L675" s="7">
        <v>0.6</v>
      </c>
      <c r="M675" s="8">
        <v>43783</v>
      </c>
      <c r="N675">
        <v>11</v>
      </c>
      <c r="O675" t="s">
        <v>71</v>
      </c>
      <c r="P675">
        <v>2019</v>
      </c>
      <c r="Q675">
        <v>0.16370000000000001</v>
      </c>
      <c r="R675" s="10"/>
      <c r="S675">
        <f>ROUND(ТабCЕС[[#This Row],[Зелений Тариф ЕЦ]]+ТабCЕС[[#This Row],[Зелений Тариф ЕЦ]]*ТабCЕС[[#This Row],[% надбавки]],4)</f>
        <v>0.16370000000000001</v>
      </c>
      <c r="T675" s="8"/>
    </row>
    <row r="676" spans="4:20">
      <c r="D676" t="s">
        <v>384</v>
      </c>
      <c r="F676" s="1" t="s">
        <v>2043</v>
      </c>
      <c r="G676" s="1" t="s">
        <v>384</v>
      </c>
      <c r="H676" t="s">
        <v>69</v>
      </c>
      <c r="K676" t="s">
        <v>2044</v>
      </c>
      <c r="L676" s="7">
        <v>0.127</v>
      </c>
      <c r="M676" s="8">
        <v>43783</v>
      </c>
      <c r="N676">
        <v>11</v>
      </c>
      <c r="O676" t="s">
        <v>71</v>
      </c>
      <c r="P676">
        <v>2019</v>
      </c>
      <c r="Q676">
        <v>0.16370000000000001</v>
      </c>
      <c r="R676" s="10"/>
      <c r="S676">
        <f>ROUND(ТабCЕС[[#This Row],[Зелений Тариф ЕЦ]]+ТабCЕС[[#This Row],[Зелений Тариф ЕЦ]]*ТабCЕС[[#This Row],[% надбавки]],4)</f>
        <v>0.16370000000000001</v>
      </c>
      <c r="T676" s="8"/>
    </row>
    <row r="677" spans="4:20">
      <c r="D677" t="s">
        <v>384</v>
      </c>
      <c r="F677" s="1" t="s">
        <v>2045</v>
      </c>
      <c r="G677" s="1" t="s">
        <v>384</v>
      </c>
      <c r="H677" t="s">
        <v>69</v>
      </c>
      <c r="K677" t="s">
        <v>2046</v>
      </c>
      <c r="L677" s="7">
        <v>0.995</v>
      </c>
      <c r="M677" s="8">
        <v>43783</v>
      </c>
      <c r="N677">
        <v>11</v>
      </c>
      <c r="O677" t="s">
        <v>71</v>
      </c>
      <c r="P677">
        <v>2019</v>
      </c>
      <c r="Q677">
        <v>0.16370000000000001</v>
      </c>
      <c r="R677" s="10"/>
      <c r="S677">
        <f>ROUND(ТабCЕС[[#This Row],[Зелений Тариф ЕЦ]]+ТабCЕС[[#This Row],[Зелений Тариф ЕЦ]]*ТабCЕС[[#This Row],[% надбавки]],4)</f>
        <v>0.16370000000000001</v>
      </c>
      <c r="T677" s="8"/>
    </row>
    <row r="678" spans="4:20">
      <c r="D678" t="s">
        <v>384</v>
      </c>
      <c r="F678" s="1" t="s">
        <v>2047</v>
      </c>
      <c r="G678" s="1" t="s">
        <v>384</v>
      </c>
      <c r="H678" t="s">
        <v>98</v>
      </c>
      <c r="K678" t="s">
        <v>2048</v>
      </c>
      <c r="L678" s="7">
        <v>0.22</v>
      </c>
      <c r="M678" s="8">
        <v>43783</v>
      </c>
      <c r="N678">
        <v>11</v>
      </c>
      <c r="O678" t="s">
        <v>71</v>
      </c>
      <c r="P678">
        <v>2019</v>
      </c>
      <c r="Q678">
        <v>0.16370000000000001</v>
      </c>
      <c r="R678" s="10"/>
      <c r="S678">
        <f>ROUND(ТабCЕС[[#This Row],[Зелений Тариф ЕЦ]]+ТабCЕС[[#This Row],[Зелений Тариф ЕЦ]]*ТабCЕС[[#This Row],[% надбавки]],4)</f>
        <v>0.16370000000000001</v>
      </c>
      <c r="T678" s="8"/>
    </row>
    <row r="679" spans="4:20">
      <c r="D679" t="s">
        <v>384</v>
      </c>
      <c r="F679" s="1" t="s">
        <v>2049</v>
      </c>
      <c r="G679" s="1" t="s">
        <v>384</v>
      </c>
      <c r="H679" t="s">
        <v>107</v>
      </c>
      <c r="K679" t="s">
        <v>2050</v>
      </c>
      <c r="L679" s="7">
        <v>0.33600000000000002</v>
      </c>
      <c r="M679" s="8">
        <v>43783</v>
      </c>
      <c r="N679">
        <v>11</v>
      </c>
      <c r="O679" t="s">
        <v>71</v>
      </c>
      <c r="P679">
        <v>2019</v>
      </c>
      <c r="Q679">
        <v>0.16370000000000001</v>
      </c>
      <c r="R679" s="10"/>
      <c r="S679">
        <f>ROUND(ТабCЕС[[#This Row],[Зелений Тариф ЕЦ]]+ТабCЕС[[#This Row],[Зелений Тариф ЕЦ]]*ТабCЕС[[#This Row],[% надбавки]],4)</f>
        <v>0.16370000000000001</v>
      </c>
      <c r="T679" s="8"/>
    </row>
    <row r="680" spans="4:20">
      <c r="D680" t="s">
        <v>384</v>
      </c>
      <c r="F680" s="1" t="s">
        <v>2051</v>
      </c>
      <c r="G680" s="1" t="s">
        <v>2002</v>
      </c>
      <c r="H680" t="s">
        <v>122</v>
      </c>
      <c r="I680" t="s">
        <v>330</v>
      </c>
      <c r="J680" t="s">
        <v>2052</v>
      </c>
      <c r="K680" t="s">
        <v>2053</v>
      </c>
      <c r="L680" s="7">
        <v>6.8739999999999997</v>
      </c>
      <c r="M680" s="8">
        <v>43783</v>
      </c>
      <c r="N680">
        <v>11</v>
      </c>
      <c r="O680" t="s">
        <v>71</v>
      </c>
      <c r="P680">
        <v>2019</v>
      </c>
      <c r="Q680">
        <v>0.15029999999999999</v>
      </c>
      <c r="R680" s="10"/>
      <c r="S680">
        <f>ROUND(ТабCЕС[[#This Row],[Зелений Тариф ЕЦ]]+ТабCЕС[[#This Row],[Зелений Тариф ЕЦ]]*ТабCЕС[[#This Row],[% надбавки]],4)</f>
        <v>0.15029999999999999</v>
      </c>
      <c r="T680" s="8"/>
    </row>
    <row r="681" spans="4:20">
      <c r="D681" t="s">
        <v>384</v>
      </c>
      <c r="F681" s="1" t="s">
        <v>2054</v>
      </c>
      <c r="G681" s="1" t="s">
        <v>2055</v>
      </c>
      <c r="H681" t="s">
        <v>65</v>
      </c>
      <c r="K681" t="s">
        <v>2056</v>
      </c>
      <c r="L681" s="7">
        <v>0.504</v>
      </c>
      <c r="M681" s="8">
        <v>43783</v>
      </c>
      <c r="N681">
        <v>11</v>
      </c>
      <c r="O681" t="s">
        <v>71</v>
      </c>
      <c r="P681">
        <v>2019</v>
      </c>
      <c r="Q681">
        <v>0.16370000000000001</v>
      </c>
      <c r="R681" s="10"/>
      <c r="S681">
        <f>ROUND(ТабCЕС[[#This Row],[Зелений Тариф ЕЦ]]+ТабCЕС[[#This Row],[Зелений Тариф ЕЦ]]*ТабCЕС[[#This Row],[% надбавки]],4)</f>
        <v>0.16370000000000001</v>
      </c>
      <c r="T681" s="8"/>
    </row>
    <row r="682" spans="4:20">
      <c r="D682" t="s">
        <v>384</v>
      </c>
      <c r="F682" s="1" t="s">
        <v>1681</v>
      </c>
      <c r="G682" s="1" t="s">
        <v>384</v>
      </c>
      <c r="H682" t="s">
        <v>233</v>
      </c>
      <c r="K682" t="s">
        <v>2057</v>
      </c>
      <c r="L682" s="7">
        <v>0.124</v>
      </c>
      <c r="M682" s="8">
        <v>43783</v>
      </c>
      <c r="N682">
        <v>11</v>
      </c>
      <c r="O682" t="s">
        <v>71</v>
      </c>
      <c r="P682">
        <v>2019</v>
      </c>
      <c r="Q682">
        <v>0.16370000000000001</v>
      </c>
      <c r="R682" s="10"/>
      <c r="S682">
        <f>ROUND(ТабCЕС[[#This Row],[Зелений Тариф ЕЦ]]+ТабCЕС[[#This Row],[Зелений Тариф ЕЦ]]*ТабCЕС[[#This Row],[% надбавки]],4)</f>
        <v>0.16370000000000001</v>
      </c>
      <c r="T682" s="8"/>
    </row>
    <row r="683" spans="4:20">
      <c r="D683" t="s">
        <v>384</v>
      </c>
      <c r="F683" s="1" t="s">
        <v>2058</v>
      </c>
      <c r="G683" s="1" t="s">
        <v>384</v>
      </c>
      <c r="H683" t="s">
        <v>69</v>
      </c>
      <c r="K683" t="s">
        <v>2059</v>
      </c>
      <c r="L683" s="7">
        <v>0.22800000000000001</v>
      </c>
      <c r="M683" s="8">
        <v>43783</v>
      </c>
      <c r="N683">
        <v>11</v>
      </c>
      <c r="O683" t="s">
        <v>71</v>
      </c>
      <c r="P683">
        <v>2019</v>
      </c>
      <c r="Q683">
        <v>0.16370000000000001</v>
      </c>
      <c r="R683" s="10"/>
      <c r="S683">
        <f>ROUND(ТабCЕС[[#This Row],[Зелений Тариф ЕЦ]]+ТабCЕС[[#This Row],[Зелений Тариф ЕЦ]]*ТабCЕС[[#This Row],[% надбавки]],4)</f>
        <v>0.16370000000000001</v>
      </c>
      <c r="T683" s="8"/>
    </row>
    <row r="684" spans="4:20">
      <c r="D684" t="s">
        <v>384</v>
      </c>
      <c r="F684" s="1" t="s">
        <v>2060</v>
      </c>
      <c r="G684" s="1" t="s">
        <v>384</v>
      </c>
      <c r="H684" t="s">
        <v>65</v>
      </c>
      <c r="K684" t="s">
        <v>2061</v>
      </c>
      <c r="L684" s="29">
        <v>12.11</v>
      </c>
      <c r="M684" s="8">
        <v>43788</v>
      </c>
      <c r="N684">
        <v>11</v>
      </c>
      <c r="O684" t="s">
        <v>71</v>
      </c>
      <c r="P684">
        <v>2019</v>
      </c>
      <c r="Q684">
        <v>0.15029999999999999</v>
      </c>
      <c r="R684" s="10"/>
      <c r="S684">
        <f>ROUND(ТабCЕС[[#This Row],[Зелений Тариф ЕЦ]]+ТабCЕС[[#This Row],[Зелений Тариф ЕЦ]]*ТабCЕС[[#This Row],[% надбавки]],4)</f>
        <v>0.15029999999999999</v>
      </c>
      <c r="T684" s="8"/>
    </row>
    <row r="685" spans="4:20">
      <c r="D685" t="s">
        <v>384</v>
      </c>
      <c r="F685" s="1" t="s">
        <v>2062</v>
      </c>
      <c r="G685" s="1" t="s">
        <v>384</v>
      </c>
      <c r="H685" t="s">
        <v>65</v>
      </c>
      <c r="K685" t="s">
        <v>2063</v>
      </c>
      <c r="L685" s="29">
        <v>13.243</v>
      </c>
      <c r="M685" s="8">
        <v>43788</v>
      </c>
      <c r="N685">
        <v>11</v>
      </c>
      <c r="O685" t="s">
        <v>71</v>
      </c>
      <c r="P685">
        <v>2019</v>
      </c>
      <c r="Q685">
        <v>0.15029999999999999</v>
      </c>
      <c r="R685" s="10"/>
      <c r="S685">
        <f>ROUND(ТабCЕС[[#This Row],[Зелений Тариф ЕЦ]]+ТабCЕС[[#This Row],[Зелений Тариф ЕЦ]]*ТабCЕС[[#This Row],[% надбавки]],4)</f>
        <v>0.15029999999999999</v>
      </c>
      <c r="T685" s="8"/>
    </row>
    <row r="686" spans="4:20">
      <c r="D686" t="s">
        <v>384</v>
      </c>
      <c r="F686" s="1" t="s">
        <v>2064</v>
      </c>
      <c r="H686" t="s">
        <v>136</v>
      </c>
      <c r="K686" t="s">
        <v>2065</v>
      </c>
      <c r="L686" s="29">
        <v>11.84</v>
      </c>
      <c r="M686" s="8">
        <v>43788</v>
      </c>
      <c r="N686">
        <v>11</v>
      </c>
      <c r="O686" t="s">
        <v>71</v>
      </c>
      <c r="P686">
        <v>2019</v>
      </c>
      <c r="Q686">
        <v>0.15029999999999999</v>
      </c>
      <c r="R686" s="10"/>
      <c r="S686">
        <f>ROUND(ТабCЕС[[#This Row],[Зелений Тариф ЕЦ]]+ТабCЕС[[#This Row],[Зелений Тариф ЕЦ]]*ТабCЕС[[#This Row],[% надбавки]],4)</f>
        <v>0.15029999999999999</v>
      </c>
      <c r="T686" s="8"/>
    </row>
    <row r="687" spans="4:20">
      <c r="D687" t="s">
        <v>384</v>
      </c>
      <c r="F687" s="1" t="s">
        <v>2066</v>
      </c>
      <c r="H687" t="s">
        <v>122</v>
      </c>
      <c r="K687" t="s">
        <v>2067</v>
      </c>
      <c r="L687" s="29">
        <v>24.353999999999999</v>
      </c>
      <c r="M687" s="8">
        <v>43788</v>
      </c>
      <c r="N687">
        <v>11</v>
      </c>
      <c r="O687" t="s">
        <v>71</v>
      </c>
      <c r="P687">
        <v>2019</v>
      </c>
      <c r="Q687">
        <v>0.15029999999999999</v>
      </c>
      <c r="R687" s="10"/>
      <c r="S687">
        <f>ROUND(ТабCЕС[[#This Row],[Зелений Тариф ЕЦ]]+ТабCЕС[[#This Row],[Зелений Тариф ЕЦ]]*ТабCЕС[[#This Row],[% надбавки]],4)</f>
        <v>0.15029999999999999</v>
      </c>
      <c r="T687" s="8"/>
    </row>
    <row r="688" spans="4:20">
      <c r="D688" t="s">
        <v>384</v>
      </c>
      <c r="F688" s="1" t="s">
        <v>2068</v>
      </c>
      <c r="H688" t="s">
        <v>122</v>
      </c>
      <c r="K688" t="s">
        <v>2069</v>
      </c>
      <c r="L688" s="29">
        <v>4.2320000000000002</v>
      </c>
      <c r="M688" s="8">
        <v>43788</v>
      </c>
      <c r="N688">
        <v>11</v>
      </c>
      <c r="O688" t="s">
        <v>71</v>
      </c>
      <c r="P688">
        <v>2019</v>
      </c>
      <c r="Q688">
        <v>0.15029999999999999</v>
      </c>
      <c r="R688" s="10"/>
      <c r="S688">
        <f>ROUND(ТабCЕС[[#This Row],[Зелений Тариф ЕЦ]]+ТабCЕС[[#This Row],[Зелений Тариф ЕЦ]]*ТабCЕС[[#This Row],[% надбавки]],4)</f>
        <v>0.15029999999999999</v>
      </c>
      <c r="T688" s="8"/>
    </row>
    <row r="689" spans="3:20" ht="15.6" customHeight="1">
      <c r="D689" t="s">
        <v>384</v>
      </c>
      <c r="F689" s="1" t="s">
        <v>2070</v>
      </c>
      <c r="H689" t="s">
        <v>65</v>
      </c>
      <c r="K689" s="1" t="s">
        <v>2071</v>
      </c>
      <c r="L689" s="29">
        <v>3.0640000000000001</v>
      </c>
      <c r="M689" s="8">
        <v>43788</v>
      </c>
      <c r="N689">
        <v>11</v>
      </c>
      <c r="O689" t="s">
        <v>71</v>
      </c>
      <c r="P689">
        <v>2019</v>
      </c>
      <c r="Q689">
        <v>0.15029999999999999</v>
      </c>
      <c r="R689" s="10"/>
      <c r="S689">
        <f>ROUND(ТабCЕС[[#This Row],[Зелений Тариф ЕЦ]]+ТабCЕС[[#This Row],[Зелений Тариф ЕЦ]]*ТабCЕС[[#This Row],[% надбавки]],4)</f>
        <v>0.15029999999999999</v>
      </c>
      <c r="T689" s="8"/>
    </row>
    <row r="690" spans="3:20">
      <c r="D690" t="s">
        <v>384</v>
      </c>
      <c r="F690" s="1" t="s">
        <v>2072</v>
      </c>
      <c r="H690" t="s">
        <v>65</v>
      </c>
      <c r="K690" t="s">
        <v>2073</v>
      </c>
      <c r="L690" s="29">
        <v>0.24199999999999999</v>
      </c>
      <c r="M690" s="8">
        <v>43788</v>
      </c>
      <c r="N690">
        <v>11</v>
      </c>
      <c r="O690" t="s">
        <v>71</v>
      </c>
      <c r="P690">
        <v>2019</v>
      </c>
      <c r="Q690">
        <v>0.16370000000000001</v>
      </c>
      <c r="R690" s="10"/>
      <c r="S690">
        <f>ROUND(ТабCЕС[[#This Row],[Зелений Тариф ЕЦ]]+ТабCЕС[[#This Row],[Зелений Тариф ЕЦ]]*ТабCЕС[[#This Row],[% надбавки]],4)</f>
        <v>0.16370000000000001</v>
      </c>
      <c r="T690" s="8"/>
    </row>
    <row r="691" spans="3:20">
      <c r="D691" t="s">
        <v>384</v>
      </c>
      <c r="F691" s="1" t="s">
        <v>2074</v>
      </c>
      <c r="H691" t="s">
        <v>73</v>
      </c>
      <c r="K691" t="s">
        <v>2075</v>
      </c>
      <c r="L691" s="29">
        <v>0.24099999999999999</v>
      </c>
      <c r="M691" s="8">
        <v>43788</v>
      </c>
      <c r="N691">
        <v>11</v>
      </c>
      <c r="O691" t="s">
        <v>71</v>
      </c>
      <c r="P691">
        <v>2019</v>
      </c>
      <c r="Q691">
        <v>0.16370000000000001</v>
      </c>
      <c r="R691" s="10"/>
      <c r="S691">
        <f>ROUND(ТабCЕС[[#This Row],[Зелений Тариф ЕЦ]]+ТабCЕС[[#This Row],[Зелений Тариф ЕЦ]]*ТабCЕС[[#This Row],[% надбавки]],4)</f>
        <v>0.16370000000000001</v>
      </c>
      <c r="T691" s="8"/>
    </row>
    <row r="692" spans="3:20">
      <c r="D692" t="s">
        <v>384</v>
      </c>
      <c r="F692" s="1" t="s">
        <v>2074</v>
      </c>
      <c r="H692" t="s">
        <v>73</v>
      </c>
      <c r="K692" t="s">
        <v>2076</v>
      </c>
      <c r="L692" s="29">
        <v>0.35299999999999998</v>
      </c>
      <c r="M692" s="8">
        <v>43788</v>
      </c>
      <c r="N692">
        <v>11</v>
      </c>
      <c r="O692" t="s">
        <v>71</v>
      </c>
      <c r="P692">
        <v>2019</v>
      </c>
      <c r="Q692">
        <v>0.16370000000000001</v>
      </c>
      <c r="R692" s="10"/>
      <c r="S692">
        <f>ROUND(ТабCЕС[[#This Row],[Зелений Тариф ЕЦ]]+ТабCЕС[[#This Row],[Зелений Тариф ЕЦ]]*ТабCЕС[[#This Row],[% надбавки]],4)</f>
        <v>0.16370000000000001</v>
      </c>
      <c r="T692" s="8"/>
    </row>
    <row r="693" spans="3:20">
      <c r="D693" t="s">
        <v>384</v>
      </c>
      <c r="F693" s="1" t="s">
        <v>2077</v>
      </c>
      <c r="H693" t="s">
        <v>233</v>
      </c>
      <c r="K693" t="s">
        <v>2078</v>
      </c>
      <c r="L693" s="29">
        <v>8.1000000000000003E-2</v>
      </c>
      <c r="M693" s="8">
        <v>43788</v>
      </c>
      <c r="N693">
        <v>11</v>
      </c>
      <c r="O693" t="s">
        <v>71</v>
      </c>
      <c r="P693">
        <v>2019</v>
      </c>
      <c r="Q693">
        <v>0.16370000000000001</v>
      </c>
      <c r="R693" s="10"/>
      <c r="T693" s="8"/>
    </row>
    <row r="694" spans="3:20">
      <c r="D694" t="s">
        <v>384</v>
      </c>
      <c r="F694" s="1" t="s">
        <v>2079</v>
      </c>
      <c r="G694" s="1" t="s">
        <v>384</v>
      </c>
      <c r="H694" t="s">
        <v>82</v>
      </c>
      <c r="K694" t="s">
        <v>2080</v>
      </c>
      <c r="L694" s="7">
        <v>10.84</v>
      </c>
      <c r="M694" s="8">
        <v>43795</v>
      </c>
      <c r="N694">
        <v>11</v>
      </c>
      <c r="O694" t="s">
        <v>71</v>
      </c>
      <c r="P694">
        <v>2019</v>
      </c>
      <c r="Q694">
        <v>0.15029999999999999</v>
      </c>
      <c r="R694" s="10"/>
      <c r="S694">
        <f>ROUND(ТабCЕС[[#This Row],[Зелений Тариф ЕЦ]]+ТабCЕС[[#This Row],[Зелений Тариф ЕЦ]]*ТабCЕС[[#This Row],[% надбавки]],4)</f>
        <v>0.15029999999999999</v>
      </c>
      <c r="T694" s="8"/>
    </row>
    <row r="695" spans="3:20">
      <c r="C695" t="s">
        <v>58</v>
      </c>
      <c r="D695" t="s">
        <v>384</v>
      </c>
      <c r="F695" s="1" t="s">
        <v>2081</v>
      </c>
      <c r="G695" s="1" t="s">
        <v>384</v>
      </c>
      <c r="H695" t="s">
        <v>82</v>
      </c>
      <c r="K695" t="s">
        <v>2082</v>
      </c>
      <c r="L695" s="7">
        <v>11.016999999999999</v>
      </c>
      <c r="M695" s="8">
        <v>43795</v>
      </c>
      <c r="N695">
        <v>11</v>
      </c>
      <c r="O695" t="s">
        <v>71</v>
      </c>
      <c r="P695">
        <v>2019</v>
      </c>
      <c r="Q695">
        <v>0.15029999999999999</v>
      </c>
      <c r="R695" s="10"/>
      <c r="S695">
        <f>ROUND(ТабCЕС[[#This Row],[Зелений Тариф ЕЦ]]+ТабCЕС[[#This Row],[Зелений Тариф ЕЦ]]*ТабCЕС[[#This Row],[% надбавки]],4)</f>
        <v>0.15029999999999999</v>
      </c>
      <c r="T695" s="8"/>
    </row>
    <row r="696" spans="3:20">
      <c r="C696" t="s">
        <v>58</v>
      </c>
      <c r="D696" t="s">
        <v>384</v>
      </c>
      <c r="F696" s="1" t="s">
        <v>2083</v>
      </c>
      <c r="G696" s="1" t="s">
        <v>2084</v>
      </c>
      <c r="H696" t="s">
        <v>136</v>
      </c>
      <c r="K696" t="s">
        <v>2085</v>
      </c>
      <c r="L696" s="7">
        <v>11.398</v>
      </c>
      <c r="M696" s="8">
        <v>43795</v>
      </c>
      <c r="N696">
        <v>11</v>
      </c>
      <c r="O696" t="s">
        <v>71</v>
      </c>
      <c r="P696">
        <v>2019</v>
      </c>
      <c r="Q696">
        <v>0.15029999999999999</v>
      </c>
      <c r="R696" s="10">
        <v>0.05</v>
      </c>
      <c r="S696">
        <f>ROUND(ТабCЕС[[#This Row],[Зелений Тариф ЕЦ]]+ТабCЕС[[#This Row],[Зелений Тариф ЕЦ]]*ТабCЕС[[#This Row],[% надбавки]],4)</f>
        <v>0.1578</v>
      </c>
      <c r="T696" s="8">
        <v>43844</v>
      </c>
    </row>
    <row r="697" spans="3:20">
      <c r="C697" t="s">
        <v>58</v>
      </c>
      <c r="D697" t="s">
        <v>384</v>
      </c>
      <c r="F697" s="1" t="s">
        <v>2086</v>
      </c>
      <c r="G697" s="1" t="s">
        <v>2087</v>
      </c>
      <c r="H697" t="s">
        <v>263</v>
      </c>
      <c r="K697" t="s">
        <v>2088</v>
      </c>
      <c r="L697" s="7">
        <v>10.396000000000001</v>
      </c>
      <c r="M697" s="8">
        <v>43795</v>
      </c>
      <c r="N697">
        <v>11</v>
      </c>
      <c r="O697" t="s">
        <v>71</v>
      </c>
      <c r="P697">
        <v>2019</v>
      </c>
      <c r="Q697">
        <v>0.15029999999999999</v>
      </c>
      <c r="R697" s="10">
        <v>0.05</v>
      </c>
      <c r="S697">
        <f>ROUND(ТабCЕС[[#This Row],[Зелений Тариф ЕЦ]]+ТабCЕС[[#This Row],[Зелений Тариф ЕЦ]]*ТабCЕС[[#This Row],[% надбавки]],4)</f>
        <v>0.1578</v>
      </c>
      <c r="T697" s="8">
        <v>43844</v>
      </c>
    </row>
    <row r="698" spans="3:20">
      <c r="C698" t="s">
        <v>58</v>
      </c>
      <c r="D698" t="s">
        <v>384</v>
      </c>
      <c r="F698" s="1" t="s">
        <v>2089</v>
      </c>
      <c r="G698" s="1" t="s">
        <v>2090</v>
      </c>
      <c r="H698" t="s">
        <v>263</v>
      </c>
      <c r="K698" t="s">
        <v>2091</v>
      </c>
      <c r="L698" s="7">
        <v>20.033999999999999</v>
      </c>
      <c r="M698" s="8">
        <v>43795</v>
      </c>
      <c r="N698">
        <v>11</v>
      </c>
      <c r="O698" t="s">
        <v>71</v>
      </c>
      <c r="P698">
        <v>2019</v>
      </c>
      <c r="Q698">
        <v>0.15029999999999999</v>
      </c>
      <c r="R698" s="10"/>
      <c r="S698">
        <f>ROUND(ТабCЕС[[#This Row],[Зелений Тариф ЕЦ]]+ТабCЕС[[#This Row],[Зелений Тариф ЕЦ]]*ТабCЕС[[#This Row],[% надбавки]],4)</f>
        <v>0.15029999999999999</v>
      </c>
      <c r="T698" s="8"/>
    </row>
    <row r="699" spans="3:20">
      <c r="C699" t="s">
        <v>58</v>
      </c>
      <c r="D699" t="s">
        <v>384</v>
      </c>
      <c r="F699" s="1" t="s">
        <v>2092</v>
      </c>
      <c r="G699" s="1" t="s">
        <v>2093</v>
      </c>
      <c r="H699" t="s">
        <v>233</v>
      </c>
      <c r="K699" t="s">
        <v>2094</v>
      </c>
      <c r="L699" s="7">
        <v>12.647</v>
      </c>
      <c r="M699" s="8">
        <v>43795</v>
      </c>
      <c r="N699">
        <v>11</v>
      </c>
      <c r="O699" t="s">
        <v>71</v>
      </c>
      <c r="P699">
        <v>2019</v>
      </c>
      <c r="Q699">
        <v>0.15029999999999999</v>
      </c>
      <c r="R699" s="10"/>
      <c r="S699">
        <f>ROUND(ТабCЕС[[#This Row],[Зелений Тариф ЕЦ]]+ТабCЕС[[#This Row],[Зелений Тариф ЕЦ]]*ТабCЕС[[#This Row],[% надбавки]],4)</f>
        <v>0.15029999999999999</v>
      </c>
      <c r="T699" s="8"/>
    </row>
    <row r="700" spans="3:20">
      <c r="C700" t="s">
        <v>58</v>
      </c>
      <c r="D700" t="s">
        <v>384</v>
      </c>
      <c r="F700" s="1" t="s">
        <v>2092</v>
      </c>
      <c r="G700" s="1" t="s">
        <v>2095</v>
      </c>
      <c r="H700" t="s">
        <v>233</v>
      </c>
      <c r="K700" t="s">
        <v>2096</v>
      </c>
      <c r="L700" s="7">
        <v>11.497</v>
      </c>
      <c r="M700" s="8">
        <v>43795</v>
      </c>
      <c r="N700">
        <v>11</v>
      </c>
      <c r="O700" t="s">
        <v>71</v>
      </c>
      <c r="P700">
        <v>2019</v>
      </c>
      <c r="Q700">
        <v>0.15029999999999999</v>
      </c>
      <c r="R700" s="10"/>
      <c r="S700">
        <f>ROUND(ТабCЕС[[#This Row],[Зелений Тариф ЕЦ]]+ТабCЕС[[#This Row],[Зелений Тариф ЕЦ]]*ТабCЕС[[#This Row],[% надбавки]],4)</f>
        <v>0.15029999999999999</v>
      </c>
      <c r="T700" s="8"/>
    </row>
    <row r="701" spans="3:20">
      <c r="C701" t="s">
        <v>58</v>
      </c>
      <c r="D701" t="s">
        <v>384</v>
      </c>
      <c r="F701" s="1" t="s">
        <v>2097</v>
      </c>
      <c r="G701" s="1" t="s">
        <v>384</v>
      </c>
      <c r="H701" t="s">
        <v>185</v>
      </c>
      <c r="K701" t="s">
        <v>2098</v>
      </c>
      <c r="L701" s="7">
        <v>1.5620000000000001</v>
      </c>
      <c r="M701" s="8">
        <v>43795</v>
      </c>
      <c r="N701">
        <v>11</v>
      </c>
      <c r="O701" t="s">
        <v>71</v>
      </c>
      <c r="P701">
        <v>2019</v>
      </c>
      <c r="Q701">
        <v>0.15029999999999999</v>
      </c>
      <c r="R701" s="10"/>
      <c r="S701">
        <f>ROUND(ТабCЕС[[#This Row],[Зелений Тариф ЕЦ]]+ТабCЕС[[#This Row],[Зелений Тариф ЕЦ]]*ТабCЕС[[#This Row],[% надбавки]],4)</f>
        <v>0.15029999999999999</v>
      </c>
      <c r="T701" s="8"/>
    </row>
    <row r="702" spans="3:20">
      <c r="C702" t="s">
        <v>58</v>
      </c>
      <c r="D702" t="s">
        <v>384</v>
      </c>
      <c r="F702" s="1" t="s">
        <v>2099</v>
      </c>
      <c r="G702" s="1" t="s">
        <v>384</v>
      </c>
      <c r="H702" t="s">
        <v>62</v>
      </c>
      <c r="K702" t="s">
        <v>2100</v>
      </c>
      <c r="L702" s="7">
        <v>0.752</v>
      </c>
      <c r="M702" s="8">
        <v>43795</v>
      </c>
      <c r="N702">
        <v>11</v>
      </c>
      <c r="O702" t="s">
        <v>71</v>
      </c>
      <c r="P702">
        <v>2019</v>
      </c>
      <c r="Q702">
        <v>0.15029999999999999</v>
      </c>
      <c r="R702" s="10"/>
      <c r="S702">
        <f>ROUND(ТабCЕС[[#This Row],[Зелений Тариф ЕЦ]]+ТабCЕС[[#This Row],[Зелений Тариф ЕЦ]]*ТабCЕС[[#This Row],[% надбавки]],4)</f>
        <v>0.15029999999999999</v>
      </c>
      <c r="T702" s="8"/>
    </row>
    <row r="703" spans="3:20">
      <c r="C703" t="s">
        <v>58</v>
      </c>
      <c r="D703" t="s">
        <v>384</v>
      </c>
      <c r="F703" s="1" t="s">
        <v>2101</v>
      </c>
      <c r="G703" s="1" t="s">
        <v>384</v>
      </c>
      <c r="H703" t="s">
        <v>233</v>
      </c>
      <c r="K703" t="s">
        <v>2102</v>
      </c>
      <c r="L703" s="7">
        <v>1.016</v>
      </c>
      <c r="M703" s="8">
        <v>43795</v>
      </c>
      <c r="N703">
        <v>11</v>
      </c>
      <c r="O703" t="s">
        <v>71</v>
      </c>
      <c r="P703">
        <v>2019</v>
      </c>
      <c r="Q703">
        <v>0.15029999999999999</v>
      </c>
      <c r="R703" s="10"/>
      <c r="S703">
        <f>ROUND(ТабCЕС[[#This Row],[Зелений Тариф ЕЦ]]+ТабCЕС[[#This Row],[Зелений Тариф ЕЦ]]*ТабCЕС[[#This Row],[% надбавки]],4)</f>
        <v>0.15029999999999999</v>
      </c>
      <c r="T703" s="8"/>
    </row>
    <row r="704" spans="3:20">
      <c r="C704" t="s">
        <v>58</v>
      </c>
      <c r="D704" t="s">
        <v>384</v>
      </c>
      <c r="F704" s="1" t="s">
        <v>2103</v>
      </c>
      <c r="G704" s="1" t="s">
        <v>384</v>
      </c>
      <c r="H704" t="s">
        <v>122</v>
      </c>
      <c r="K704" t="s">
        <v>2104</v>
      </c>
      <c r="L704" s="7">
        <v>6.1820000000000004</v>
      </c>
      <c r="M704" s="8">
        <v>43795</v>
      </c>
      <c r="N704">
        <v>11</v>
      </c>
      <c r="O704" t="s">
        <v>71</v>
      </c>
      <c r="P704">
        <v>2019</v>
      </c>
      <c r="Q704">
        <v>0.15029999999999999</v>
      </c>
      <c r="R704" s="10"/>
      <c r="S704">
        <f>ROUND(ТабCЕС[[#This Row],[Зелений Тариф ЕЦ]]+ТабCЕС[[#This Row],[Зелений Тариф ЕЦ]]*ТабCЕС[[#This Row],[% надбавки]],4)</f>
        <v>0.15029999999999999</v>
      </c>
      <c r="T704" s="8"/>
    </row>
    <row r="705" spans="3:20">
      <c r="C705" t="s">
        <v>58</v>
      </c>
      <c r="D705" t="s">
        <v>384</v>
      </c>
      <c r="F705" s="1" t="s">
        <v>2105</v>
      </c>
      <c r="G705" s="1" t="s">
        <v>384</v>
      </c>
      <c r="H705" t="s">
        <v>1257</v>
      </c>
      <c r="K705" t="s">
        <v>2106</v>
      </c>
      <c r="L705" s="7">
        <v>1.1160000000000001</v>
      </c>
      <c r="M705" s="8">
        <v>43795</v>
      </c>
      <c r="N705">
        <v>11</v>
      </c>
      <c r="O705" t="s">
        <v>71</v>
      </c>
      <c r="P705">
        <v>2019</v>
      </c>
      <c r="Q705">
        <v>0.15029999999999999</v>
      </c>
      <c r="R705" s="10"/>
      <c r="S705">
        <f>ROUND(ТабCЕС[[#This Row],[Зелений Тариф ЕЦ]]+ТабCЕС[[#This Row],[Зелений Тариф ЕЦ]]*ТабCЕС[[#This Row],[% надбавки]],4)</f>
        <v>0.15029999999999999</v>
      </c>
      <c r="T705" s="8"/>
    </row>
    <row r="706" spans="3:20">
      <c r="C706" t="s">
        <v>58</v>
      </c>
      <c r="D706" t="s">
        <v>384</v>
      </c>
      <c r="F706" s="1" t="s">
        <v>2107</v>
      </c>
      <c r="G706" s="1" t="s">
        <v>384</v>
      </c>
      <c r="H706" t="s">
        <v>122</v>
      </c>
      <c r="K706" t="s">
        <v>2108</v>
      </c>
      <c r="L706" s="7">
        <v>2.3519999999999999</v>
      </c>
      <c r="M706" s="8">
        <v>43795</v>
      </c>
      <c r="N706">
        <v>11</v>
      </c>
      <c r="O706" t="s">
        <v>71</v>
      </c>
      <c r="P706">
        <v>2019</v>
      </c>
      <c r="Q706">
        <v>0.15029999999999999</v>
      </c>
      <c r="R706" s="10"/>
      <c r="S706">
        <f>ROUND(ТабCЕС[[#This Row],[Зелений Тариф ЕЦ]]+ТабCЕС[[#This Row],[Зелений Тариф ЕЦ]]*ТабCЕС[[#This Row],[% надбавки]],4)</f>
        <v>0.15029999999999999</v>
      </c>
      <c r="T706" s="8"/>
    </row>
    <row r="707" spans="3:20">
      <c r="C707" t="s">
        <v>58</v>
      </c>
      <c r="D707" t="s">
        <v>384</v>
      </c>
      <c r="F707" s="1" t="s">
        <v>2109</v>
      </c>
      <c r="G707" s="1" t="s">
        <v>384</v>
      </c>
      <c r="H707" t="s">
        <v>233</v>
      </c>
      <c r="K707" t="s">
        <v>2110</v>
      </c>
      <c r="L707" s="7">
        <v>1.016</v>
      </c>
      <c r="M707" s="8">
        <v>43795</v>
      </c>
      <c r="N707">
        <v>11</v>
      </c>
      <c r="O707" t="s">
        <v>71</v>
      </c>
      <c r="P707">
        <v>2019</v>
      </c>
      <c r="Q707">
        <v>0.15029999999999999</v>
      </c>
      <c r="R707" s="10"/>
      <c r="S707">
        <f>ROUND(ТабCЕС[[#This Row],[Зелений Тариф ЕЦ]]+ТабCЕС[[#This Row],[Зелений Тариф ЕЦ]]*ТабCЕС[[#This Row],[% надбавки]],4)</f>
        <v>0.15029999999999999</v>
      </c>
      <c r="T707" s="8"/>
    </row>
    <row r="708" spans="3:20">
      <c r="C708" t="s">
        <v>58</v>
      </c>
      <c r="D708" t="s">
        <v>384</v>
      </c>
      <c r="F708" s="1" t="s">
        <v>2111</v>
      </c>
      <c r="G708" s="1" t="s">
        <v>384</v>
      </c>
      <c r="H708" t="s">
        <v>62</v>
      </c>
      <c r="K708" t="s">
        <v>2112</v>
      </c>
      <c r="L708" s="7">
        <v>2.2989999999999999</v>
      </c>
      <c r="M708" s="8">
        <v>43795</v>
      </c>
      <c r="N708">
        <v>11</v>
      </c>
      <c r="O708" t="s">
        <v>71</v>
      </c>
      <c r="P708">
        <v>2019</v>
      </c>
      <c r="Q708">
        <v>0.15029999999999999</v>
      </c>
      <c r="R708" s="10"/>
      <c r="S708">
        <f>ROUND(ТабCЕС[[#This Row],[Зелений Тариф ЕЦ]]+ТабCЕС[[#This Row],[Зелений Тариф ЕЦ]]*ТабCЕС[[#This Row],[% надбавки]],4)</f>
        <v>0.15029999999999999</v>
      </c>
      <c r="T708" s="8"/>
    </row>
    <row r="709" spans="3:20">
      <c r="C709" t="s">
        <v>58</v>
      </c>
      <c r="D709" t="s">
        <v>384</v>
      </c>
      <c r="F709" s="1" t="s">
        <v>2113</v>
      </c>
      <c r="G709" s="1" t="s">
        <v>384</v>
      </c>
      <c r="H709" t="s">
        <v>65</v>
      </c>
      <c r="K709" t="s">
        <v>2114</v>
      </c>
      <c r="L709" s="7">
        <v>0.999</v>
      </c>
      <c r="M709" s="8">
        <v>43795</v>
      </c>
      <c r="N709">
        <v>11</v>
      </c>
      <c r="O709" t="s">
        <v>71</v>
      </c>
      <c r="P709">
        <v>2019</v>
      </c>
      <c r="Q709">
        <v>0.15029999999999999</v>
      </c>
      <c r="R709" s="10"/>
      <c r="S709">
        <f>ROUND(ТабCЕС[[#This Row],[Зелений Тариф ЕЦ]]+ТабCЕС[[#This Row],[Зелений Тариф ЕЦ]]*ТабCЕС[[#This Row],[% надбавки]],4)</f>
        <v>0.15029999999999999</v>
      </c>
      <c r="T709" s="8"/>
    </row>
    <row r="710" spans="3:20">
      <c r="C710" t="s">
        <v>58</v>
      </c>
      <c r="D710" t="s">
        <v>384</v>
      </c>
      <c r="F710" s="1" t="s">
        <v>2115</v>
      </c>
      <c r="G710" s="1" t="s">
        <v>2116</v>
      </c>
      <c r="H710" t="s">
        <v>62</v>
      </c>
      <c r="K710" t="s">
        <v>2117</v>
      </c>
      <c r="L710" s="7">
        <v>0.27100000000000002</v>
      </c>
      <c r="M710" s="8">
        <v>43795</v>
      </c>
      <c r="N710">
        <v>11</v>
      </c>
      <c r="O710" t="s">
        <v>71</v>
      </c>
      <c r="P710">
        <v>2019</v>
      </c>
      <c r="Q710">
        <v>0.16370000000000001</v>
      </c>
      <c r="R710" s="10"/>
      <c r="S710">
        <f>ROUND(ТабCЕС[[#This Row],[Зелений Тариф ЕЦ]]+ТабCЕС[[#This Row],[Зелений Тариф ЕЦ]]*ТабCЕС[[#This Row],[% надбавки]],4)</f>
        <v>0.16370000000000001</v>
      </c>
      <c r="T710" s="8"/>
    </row>
    <row r="711" spans="3:20">
      <c r="C711" t="s">
        <v>58</v>
      </c>
      <c r="D711" t="s">
        <v>384</v>
      </c>
      <c r="F711" s="1" t="s">
        <v>2118</v>
      </c>
      <c r="G711" s="1" t="s">
        <v>2119</v>
      </c>
      <c r="H711" t="s">
        <v>98</v>
      </c>
      <c r="K711" t="s">
        <v>2120</v>
      </c>
      <c r="L711" s="7">
        <v>0.61899999999999999</v>
      </c>
      <c r="M711" s="8">
        <v>43795</v>
      </c>
      <c r="N711">
        <v>11</v>
      </c>
      <c r="O711" t="s">
        <v>71</v>
      </c>
      <c r="P711">
        <v>2019</v>
      </c>
      <c r="Q711">
        <v>0.16370000000000001</v>
      </c>
      <c r="R711" s="10"/>
      <c r="S711">
        <f>ROUND(ТабCЕС[[#This Row],[Зелений Тариф ЕЦ]]+ТабCЕС[[#This Row],[Зелений Тариф ЕЦ]]*ТабCЕС[[#This Row],[% надбавки]],4)</f>
        <v>0.16370000000000001</v>
      </c>
      <c r="T711" s="8"/>
    </row>
    <row r="712" spans="3:20">
      <c r="C712" t="s">
        <v>58</v>
      </c>
      <c r="D712" t="s">
        <v>384</v>
      </c>
      <c r="F712" s="1" t="s">
        <v>2121</v>
      </c>
      <c r="G712" s="1" t="s">
        <v>2122</v>
      </c>
      <c r="H712" t="s">
        <v>172</v>
      </c>
      <c r="K712" t="s">
        <v>2123</v>
      </c>
      <c r="L712" s="7">
        <v>0.27200000000000002</v>
      </c>
      <c r="M712" s="8">
        <v>43795</v>
      </c>
      <c r="N712">
        <v>11</v>
      </c>
      <c r="O712" t="s">
        <v>71</v>
      </c>
      <c r="P712">
        <v>2019</v>
      </c>
      <c r="Q712">
        <v>0.16370000000000001</v>
      </c>
      <c r="R712" s="10"/>
      <c r="S712">
        <f>ROUND(ТабCЕС[[#This Row],[Зелений Тариф ЕЦ]]+ТабCЕС[[#This Row],[Зелений Тариф ЕЦ]]*ТабCЕС[[#This Row],[% надбавки]],4)</f>
        <v>0.16370000000000001</v>
      </c>
      <c r="T712" s="8"/>
    </row>
    <row r="713" spans="3:20">
      <c r="C713" t="s">
        <v>58</v>
      </c>
      <c r="D713" t="s">
        <v>384</v>
      </c>
      <c r="F713" s="1" t="s">
        <v>2124</v>
      </c>
      <c r="G713" s="1" t="s">
        <v>2125</v>
      </c>
      <c r="H713" t="s">
        <v>62</v>
      </c>
      <c r="K713" t="s">
        <v>2126</v>
      </c>
      <c r="L713" s="7">
        <v>0.31</v>
      </c>
      <c r="M713" s="8">
        <v>43795</v>
      </c>
      <c r="N713">
        <v>11</v>
      </c>
      <c r="O713" t="s">
        <v>71</v>
      </c>
      <c r="P713">
        <v>2019</v>
      </c>
      <c r="Q713">
        <v>0.16370000000000001</v>
      </c>
      <c r="R713" s="10"/>
      <c r="S713">
        <f>ROUND(ТабCЕС[[#This Row],[Зелений Тариф ЕЦ]]+ТабCЕС[[#This Row],[Зелений Тариф ЕЦ]]*ТабCЕС[[#This Row],[% надбавки]],4)</f>
        <v>0.16370000000000001</v>
      </c>
      <c r="T713" s="8"/>
    </row>
    <row r="714" spans="3:20">
      <c r="C714" t="s">
        <v>58</v>
      </c>
      <c r="D714" t="s">
        <v>384</v>
      </c>
      <c r="F714" s="1" t="s">
        <v>2127</v>
      </c>
      <c r="G714" s="1" t="s">
        <v>384</v>
      </c>
      <c r="H714" t="s">
        <v>62</v>
      </c>
      <c r="K714" t="s">
        <v>2128</v>
      </c>
      <c r="L714" s="7">
        <v>1.661</v>
      </c>
      <c r="M714" s="8">
        <v>43795</v>
      </c>
      <c r="N714">
        <v>11</v>
      </c>
      <c r="O714" t="s">
        <v>71</v>
      </c>
      <c r="P714">
        <v>2019</v>
      </c>
      <c r="Q714">
        <v>0.16370000000000001</v>
      </c>
      <c r="R714" s="10"/>
      <c r="S714">
        <f>ROUND(ТабCЕС[[#This Row],[Зелений Тариф ЕЦ]]+ТабCЕС[[#This Row],[Зелений Тариф ЕЦ]]*ТабCЕС[[#This Row],[% надбавки]],4)</f>
        <v>0.16370000000000001</v>
      </c>
      <c r="T714" s="8"/>
    </row>
    <row r="715" spans="3:20">
      <c r="C715" t="s">
        <v>58</v>
      </c>
      <c r="D715" t="s">
        <v>384</v>
      </c>
      <c r="F715" s="1" t="s">
        <v>2129</v>
      </c>
      <c r="G715" s="1" t="s">
        <v>2130</v>
      </c>
      <c r="H715" t="s">
        <v>98</v>
      </c>
      <c r="K715" t="s">
        <v>2131</v>
      </c>
      <c r="L715" s="7">
        <v>10.122</v>
      </c>
      <c r="M715" s="8">
        <v>43795</v>
      </c>
      <c r="N715">
        <v>11</v>
      </c>
      <c r="O715" t="s">
        <v>71</v>
      </c>
      <c r="P715">
        <v>2019</v>
      </c>
      <c r="Q715">
        <v>0.15029999999999999</v>
      </c>
      <c r="R715" s="10"/>
      <c r="S715">
        <f>ROUND(ТабCЕС[[#This Row],[Зелений Тариф ЕЦ]]+ТабCЕС[[#This Row],[Зелений Тариф ЕЦ]]*ТабCЕС[[#This Row],[% надбавки]],4)</f>
        <v>0.15029999999999999</v>
      </c>
      <c r="T715" s="8"/>
    </row>
    <row r="716" spans="3:20">
      <c r="C716" t="s">
        <v>58</v>
      </c>
      <c r="D716" t="s">
        <v>384</v>
      </c>
      <c r="F716" s="1" t="s">
        <v>2132</v>
      </c>
      <c r="G716" s="1" t="s">
        <v>2133</v>
      </c>
      <c r="H716" t="s">
        <v>122</v>
      </c>
      <c r="K716" t="s">
        <v>2134</v>
      </c>
      <c r="L716" s="7">
        <v>4.32</v>
      </c>
      <c r="M716" s="8">
        <v>43795</v>
      </c>
      <c r="N716">
        <v>11</v>
      </c>
      <c r="O716" t="s">
        <v>71</v>
      </c>
      <c r="P716">
        <v>2019</v>
      </c>
      <c r="Q716">
        <v>0.15029999999999999</v>
      </c>
      <c r="R716" s="10"/>
      <c r="S716">
        <f>ROUND(ТабCЕС[[#This Row],[Зелений Тариф ЕЦ]]+ТабCЕС[[#This Row],[Зелений Тариф ЕЦ]]*ТабCЕС[[#This Row],[% надбавки]],4)</f>
        <v>0.15029999999999999</v>
      </c>
      <c r="T716" s="8"/>
    </row>
    <row r="717" spans="3:20">
      <c r="C717" t="s">
        <v>58</v>
      </c>
      <c r="D717" t="s">
        <v>384</v>
      </c>
      <c r="F717" s="1" t="s">
        <v>2008</v>
      </c>
      <c r="G717" s="1" t="s">
        <v>1876</v>
      </c>
      <c r="H717" t="s">
        <v>73</v>
      </c>
      <c r="K717" t="s">
        <v>2135</v>
      </c>
      <c r="L717" s="7">
        <v>0.215</v>
      </c>
      <c r="M717" s="8">
        <v>43795</v>
      </c>
      <c r="N717">
        <v>11</v>
      </c>
      <c r="O717" t="s">
        <v>71</v>
      </c>
      <c r="P717">
        <v>2019</v>
      </c>
      <c r="Q717">
        <v>0.16370000000000001</v>
      </c>
      <c r="R717" s="10"/>
      <c r="S717">
        <f>ROUND(ТабCЕС[[#This Row],[Зелений Тариф ЕЦ]]+ТабCЕС[[#This Row],[Зелений Тариф ЕЦ]]*ТабCЕС[[#This Row],[% надбавки]],4)</f>
        <v>0.16370000000000001</v>
      </c>
      <c r="T717" s="8"/>
    </row>
    <row r="718" spans="3:20">
      <c r="C718" t="s">
        <v>58</v>
      </c>
      <c r="D718" t="s">
        <v>384</v>
      </c>
      <c r="F718" s="1" t="s">
        <v>2136</v>
      </c>
      <c r="H718" t="s">
        <v>122</v>
      </c>
      <c r="K718" t="s">
        <v>2137</v>
      </c>
      <c r="L718" s="7">
        <v>10.496</v>
      </c>
      <c r="M718" s="8">
        <v>43798</v>
      </c>
      <c r="N718">
        <v>11</v>
      </c>
      <c r="O718" t="s">
        <v>71</v>
      </c>
      <c r="P718">
        <v>2019</v>
      </c>
      <c r="Q718">
        <v>0.15029999999999999</v>
      </c>
      <c r="R718" s="10"/>
      <c r="S718">
        <f>ROUND(ТабCЕС[[#This Row],[Зелений Тариф ЕЦ]]+ТабCЕС[[#This Row],[Зелений Тариф ЕЦ]]*ТабCЕС[[#This Row],[% надбавки]],4)</f>
        <v>0.15029999999999999</v>
      </c>
      <c r="T718" s="8"/>
    </row>
    <row r="719" spans="3:20">
      <c r="C719" t="s">
        <v>58</v>
      </c>
      <c r="D719" t="s">
        <v>384</v>
      </c>
      <c r="F719" s="1" t="s">
        <v>2138</v>
      </c>
      <c r="G719" s="1" t="s">
        <v>2139</v>
      </c>
      <c r="H719" t="s">
        <v>73</v>
      </c>
      <c r="K719" t="s">
        <v>2140</v>
      </c>
      <c r="L719" s="7">
        <v>12.973000000000001</v>
      </c>
      <c r="M719" s="8">
        <v>43798</v>
      </c>
      <c r="N719">
        <v>11</v>
      </c>
      <c r="O719" t="s">
        <v>71</v>
      </c>
      <c r="P719">
        <v>2019</v>
      </c>
      <c r="Q719">
        <v>0.15029999999999999</v>
      </c>
      <c r="R719" s="10"/>
      <c r="S719">
        <f>ROUND(ТабCЕС[[#This Row],[Зелений Тариф ЕЦ]]+ТабCЕС[[#This Row],[Зелений Тариф ЕЦ]]*ТабCЕС[[#This Row],[% надбавки]],4)</f>
        <v>0.15029999999999999</v>
      </c>
      <c r="T719" s="8"/>
    </row>
    <row r="720" spans="3:20">
      <c r="C720" t="s">
        <v>58</v>
      </c>
      <c r="D720" t="s">
        <v>384</v>
      </c>
      <c r="F720" s="1" t="s">
        <v>2141</v>
      </c>
      <c r="G720" s="1" t="s">
        <v>2142</v>
      </c>
      <c r="H720" t="s">
        <v>122</v>
      </c>
      <c r="K720" t="s">
        <v>2143</v>
      </c>
      <c r="L720" s="7">
        <v>20.236000000000001</v>
      </c>
      <c r="M720" s="8">
        <v>43798</v>
      </c>
      <c r="N720">
        <v>11</v>
      </c>
      <c r="O720" t="s">
        <v>71</v>
      </c>
      <c r="P720">
        <v>2019</v>
      </c>
      <c r="Q720">
        <v>0.15029999999999999</v>
      </c>
      <c r="R720" s="10"/>
      <c r="S720">
        <f>ROUND(ТабCЕС[[#This Row],[Зелений Тариф ЕЦ]]+ТабCЕС[[#This Row],[Зелений Тариф ЕЦ]]*ТабCЕС[[#This Row],[% надбавки]],4)</f>
        <v>0.15029999999999999</v>
      </c>
      <c r="T720" s="8"/>
    </row>
    <row r="721" spans="3:20">
      <c r="C721" t="s">
        <v>58</v>
      </c>
      <c r="D721" t="s">
        <v>384</v>
      </c>
      <c r="F721" s="1" t="s">
        <v>2144</v>
      </c>
      <c r="H721" t="s">
        <v>65</v>
      </c>
      <c r="K721" t="s">
        <v>2145</v>
      </c>
      <c r="L721" s="7">
        <v>1.742</v>
      </c>
      <c r="M721" s="8">
        <v>43798</v>
      </c>
      <c r="N721">
        <v>11</v>
      </c>
      <c r="O721" t="s">
        <v>71</v>
      </c>
      <c r="P721">
        <v>2019</v>
      </c>
      <c r="Q721">
        <v>0.15029999999999999</v>
      </c>
      <c r="R721" s="10"/>
      <c r="S721">
        <f>ROUND(ТабCЕС[[#This Row],[Зелений Тариф ЕЦ]]+ТабCЕС[[#This Row],[Зелений Тариф ЕЦ]]*ТабCЕС[[#This Row],[% надбавки]],4)</f>
        <v>0.15029999999999999</v>
      </c>
      <c r="T721" s="8"/>
    </row>
    <row r="722" spans="3:20">
      <c r="C722" t="s">
        <v>58</v>
      </c>
      <c r="D722" t="s">
        <v>384</v>
      </c>
      <c r="F722" s="1" t="s">
        <v>2146</v>
      </c>
      <c r="H722" t="s">
        <v>65</v>
      </c>
      <c r="K722" t="s">
        <v>2147</v>
      </c>
      <c r="L722" s="7">
        <v>2.6619999999999999</v>
      </c>
      <c r="M722" s="8">
        <v>43798</v>
      </c>
      <c r="N722">
        <v>11</v>
      </c>
      <c r="O722" t="s">
        <v>71</v>
      </c>
      <c r="P722">
        <v>2019</v>
      </c>
      <c r="Q722">
        <v>0.15029999999999999</v>
      </c>
      <c r="R722" s="10"/>
      <c r="S722">
        <f>ROUND(ТабCЕС[[#This Row],[Зелений Тариф ЕЦ]]+ТабCЕС[[#This Row],[Зелений Тариф ЕЦ]]*ТабCЕС[[#This Row],[% надбавки]],4)</f>
        <v>0.15029999999999999</v>
      </c>
      <c r="T722" s="8"/>
    </row>
    <row r="723" spans="3:20">
      <c r="C723" t="s">
        <v>58</v>
      </c>
      <c r="D723" t="s">
        <v>384</v>
      </c>
      <c r="F723" s="1" t="s">
        <v>2148</v>
      </c>
      <c r="H723" t="s">
        <v>172</v>
      </c>
      <c r="K723" t="s">
        <v>2149</v>
      </c>
      <c r="L723" s="7">
        <v>0.98599999999999999</v>
      </c>
      <c r="M723" s="8">
        <v>43798</v>
      </c>
      <c r="N723">
        <v>11</v>
      </c>
      <c r="O723" t="s">
        <v>71</v>
      </c>
      <c r="P723">
        <v>2019</v>
      </c>
      <c r="Q723">
        <v>0.15029999999999999</v>
      </c>
      <c r="R723" s="10"/>
      <c r="S723">
        <f>ROUND(ТабCЕС[[#This Row],[Зелений Тариф ЕЦ]]+ТабCЕС[[#This Row],[Зелений Тариф ЕЦ]]*ТабCЕС[[#This Row],[% надбавки]],4)</f>
        <v>0.15029999999999999</v>
      </c>
      <c r="T723" s="8"/>
    </row>
    <row r="724" spans="3:20">
      <c r="C724" t="s">
        <v>58</v>
      </c>
      <c r="D724" t="s">
        <v>384</v>
      </c>
      <c r="F724" s="1" t="s">
        <v>2150</v>
      </c>
      <c r="H724" t="s">
        <v>233</v>
      </c>
      <c r="K724" t="s">
        <v>2151</v>
      </c>
      <c r="L724" s="7">
        <v>1.016</v>
      </c>
      <c r="M724" s="8">
        <v>43798</v>
      </c>
      <c r="N724">
        <v>11</v>
      </c>
      <c r="O724" t="s">
        <v>71</v>
      </c>
      <c r="P724">
        <v>2019</v>
      </c>
      <c r="Q724">
        <v>0.15029999999999999</v>
      </c>
      <c r="R724" s="10"/>
      <c r="S724">
        <f>ROUND(ТабCЕС[[#This Row],[Зелений Тариф ЕЦ]]+ТабCЕС[[#This Row],[Зелений Тариф ЕЦ]]*ТабCЕС[[#This Row],[% надбавки]],4)</f>
        <v>0.15029999999999999</v>
      </c>
      <c r="T724" s="8"/>
    </row>
    <row r="725" spans="3:20">
      <c r="C725" t="s">
        <v>58</v>
      </c>
      <c r="D725" t="s">
        <v>384</v>
      </c>
      <c r="F725" s="1" t="s">
        <v>2152</v>
      </c>
      <c r="H725" t="s">
        <v>122</v>
      </c>
      <c r="K725" t="s">
        <v>2153</v>
      </c>
      <c r="L725" s="7">
        <v>8.1959999999999997</v>
      </c>
      <c r="M725" s="8">
        <v>43798</v>
      </c>
      <c r="N725">
        <v>11</v>
      </c>
      <c r="O725" t="s">
        <v>71</v>
      </c>
      <c r="P725">
        <v>2019</v>
      </c>
      <c r="Q725">
        <v>0.15029999999999999</v>
      </c>
      <c r="R725" s="10"/>
      <c r="S725">
        <f>ROUND(ТабCЕС[[#This Row],[Зелений Тариф ЕЦ]]+ТабCЕС[[#This Row],[Зелений Тариф ЕЦ]]*ТабCЕС[[#This Row],[% надбавки]],4)</f>
        <v>0.15029999999999999</v>
      </c>
      <c r="T725" s="8"/>
    </row>
    <row r="726" spans="3:20">
      <c r="C726" t="s">
        <v>58</v>
      </c>
      <c r="D726" t="s">
        <v>384</v>
      </c>
      <c r="F726" s="1" t="s">
        <v>2154</v>
      </c>
      <c r="H726" t="s">
        <v>233</v>
      </c>
      <c r="K726" t="s">
        <v>2155</v>
      </c>
      <c r="L726" s="7">
        <v>1.016</v>
      </c>
      <c r="M726" s="8">
        <v>43798</v>
      </c>
      <c r="N726">
        <v>11</v>
      </c>
      <c r="O726" t="s">
        <v>71</v>
      </c>
      <c r="P726">
        <v>2019</v>
      </c>
      <c r="Q726">
        <v>0.15029999999999999</v>
      </c>
      <c r="R726" s="10"/>
      <c r="S726">
        <f>ROUND(ТабCЕС[[#This Row],[Зелений Тариф ЕЦ]]+ТабCЕС[[#This Row],[Зелений Тариф ЕЦ]]*ТабCЕС[[#This Row],[% надбавки]],4)</f>
        <v>0.15029999999999999</v>
      </c>
      <c r="T726" s="8"/>
    </row>
    <row r="727" spans="3:20">
      <c r="D727" t="s">
        <v>384</v>
      </c>
      <c r="F727" s="1" t="s">
        <v>2156</v>
      </c>
      <c r="H727" t="s">
        <v>69</v>
      </c>
      <c r="K727" t="s">
        <v>2157</v>
      </c>
      <c r="L727" s="7">
        <v>0.63</v>
      </c>
      <c r="M727" s="8">
        <v>43798</v>
      </c>
      <c r="N727">
        <v>11</v>
      </c>
      <c r="O727" t="s">
        <v>71</v>
      </c>
      <c r="P727">
        <v>2019</v>
      </c>
      <c r="Q727">
        <v>0.15029999999999999</v>
      </c>
      <c r="R727" s="10"/>
      <c r="S727">
        <f>ROUND(ТабCЕС[[#This Row],[Зелений Тариф ЕЦ]]+ТабCЕС[[#This Row],[Зелений Тариф ЕЦ]]*ТабCЕС[[#This Row],[% надбавки]],4)</f>
        <v>0.15029999999999999</v>
      </c>
      <c r="T727" s="8"/>
    </row>
    <row r="728" spans="3:20">
      <c r="C728" t="s">
        <v>58</v>
      </c>
      <c r="D728" t="s">
        <v>384</v>
      </c>
      <c r="F728" s="1" t="s">
        <v>2158</v>
      </c>
      <c r="H728" t="s">
        <v>62</v>
      </c>
      <c r="K728" t="s">
        <v>2159</v>
      </c>
      <c r="L728" s="7">
        <v>2.8420000000000001</v>
      </c>
      <c r="M728" s="8">
        <v>43798</v>
      </c>
      <c r="N728">
        <v>11</v>
      </c>
      <c r="O728" t="s">
        <v>71</v>
      </c>
      <c r="P728">
        <v>2019</v>
      </c>
      <c r="Q728">
        <v>0.15029999999999999</v>
      </c>
      <c r="R728" s="10"/>
      <c r="S728">
        <f>ROUND(ТабCЕС[[#This Row],[Зелений Тариф ЕЦ]]+ТабCЕС[[#This Row],[Зелений Тариф ЕЦ]]*ТабCЕС[[#This Row],[% надбавки]],4)</f>
        <v>0.15029999999999999</v>
      </c>
      <c r="T728" s="8"/>
    </row>
    <row r="729" spans="3:20">
      <c r="C729" t="s">
        <v>58</v>
      </c>
      <c r="D729" t="s">
        <v>384</v>
      </c>
      <c r="F729" s="1" t="s">
        <v>2160</v>
      </c>
      <c r="H729" t="s">
        <v>101</v>
      </c>
      <c r="K729" t="s">
        <v>2161</v>
      </c>
      <c r="L729" s="7">
        <v>4.1040000000000001</v>
      </c>
      <c r="M729" s="8">
        <v>43802</v>
      </c>
      <c r="N729">
        <v>12</v>
      </c>
      <c r="O729" t="s">
        <v>71</v>
      </c>
      <c r="P729">
        <v>2019</v>
      </c>
      <c r="Q729">
        <v>0.15029999999999999</v>
      </c>
      <c r="R729" s="10"/>
      <c r="S729">
        <f>ROUND(ТабCЕС[[#This Row],[Зелений Тариф ЕЦ]]+ТабCЕС[[#This Row],[Зелений Тариф ЕЦ]]*ТабCЕС[[#This Row],[% надбавки]],4)</f>
        <v>0.15029999999999999</v>
      </c>
      <c r="T729" s="8"/>
    </row>
    <row r="730" spans="3:20">
      <c r="C730" t="s">
        <v>58</v>
      </c>
      <c r="D730" t="s">
        <v>384</v>
      </c>
      <c r="F730" s="1" t="s">
        <v>2162</v>
      </c>
      <c r="H730" t="s">
        <v>1658</v>
      </c>
      <c r="K730" t="s">
        <v>2163</v>
      </c>
      <c r="L730" s="7">
        <v>7.0350000000000001</v>
      </c>
      <c r="M730" s="8">
        <v>43802</v>
      </c>
      <c r="N730">
        <v>12</v>
      </c>
      <c r="O730" t="s">
        <v>71</v>
      </c>
      <c r="P730">
        <v>2019</v>
      </c>
      <c r="Q730">
        <v>0.15029999999999999</v>
      </c>
      <c r="R730" s="10"/>
      <c r="S730">
        <f>ROUND(ТабCЕС[[#This Row],[Зелений Тариф ЕЦ]]+ТабCЕС[[#This Row],[Зелений Тариф ЕЦ]]*ТабCЕС[[#This Row],[% надбавки]],4)</f>
        <v>0.15029999999999999</v>
      </c>
      <c r="T730" s="8"/>
    </row>
    <row r="731" spans="3:20">
      <c r="C731" t="s">
        <v>58</v>
      </c>
      <c r="D731" t="s">
        <v>384</v>
      </c>
      <c r="F731" s="1" t="s">
        <v>2164</v>
      </c>
      <c r="H731" t="s">
        <v>73</v>
      </c>
      <c r="K731" t="s">
        <v>2165</v>
      </c>
      <c r="L731" s="7">
        <v>0.40600000000000003</v>
      </c>
      <c r="M731" s="8">
        <v>43802</v>
      </c>
      <c r="N731">
        <v>12</v>
      </c>
      <c r="O731" t="s">
        <v>71</v>
      </c>
      <c r="P731">
        <v>2019</v>
      </c>
      <c r="Q731">
        <v>0.16370000000000001</v>
      </c>
      <c r="R731" s="10"/>
      <c r="S731">
        <f>ROUND(ТабCЕС[[#This Row],[Зелений Тариф ЕЦ]]+ТабCЕС[[#This Row],[Зелений Тариф ЕЦ]]*ТабCЕС[[#This Row],[% надбавки]],4)</f>
        <v>0.16370000000000001</v>
      </c>
      <c r="T731" s="8"/>
    </row>
    <row r="732" spans="3:20">
      <c r="C732" t="s">
        <v>58</v>
      </c>
      <c r="D732" t="s">
        <v>384</v>
      </c>
      <c r="F732" s="1" t="s">
        <v>2166</v>
      </c>
      <c r="H732" t="s">
        <v>73</v>
      </c>
      <c r="K732" t="s">
        <v>2167</v>
      </c>
      <c r="L732" s="7">
        <v>2.2679999999999998</v>
      </c>
      <c r="M732" s="8">
        <v>43802</v>
      </c>
      <c r="N732">
        <v>12</v>
      </c>
      <c r="O732" t="s">
        <v>71</v>
      </c>
      <c r="P732">
        <v>2019</v>
      </c>
      <c r="Q732">
        <v>0.15029999999999999</v>
      </c>
      <c r="R732" s="10"/>
      <c r="S732">
        <f>ROUND(ТабCЕС[[#This Row],[Зелений Тариф ЕЦ]]+ТабCЕС[[#This Row],[Зелений Тариф ЕЦ]]*ТабCЕС[[#This Row],[% надбавки]],4)</f>
        <v>0.15029999999999999</v>
      </c>
      <c r="T732" s="8"/>
    </row>
    <row r="733" spans="3:20">
      <c r="C733" t="s">
        <v>58</v>
      </c>
      <c r="D733" t="s">
        <v>384</v>
      </c>
      <c r="F733" s="1" t="s">
        <v>2168</v>
      </c>
      <c r="H733" t="s">
        <v>107</v>
      </c>
      <c r="K733" t="s">
        <v>2169</v>
      </c>
      <c r="L733" s="7">
        <v>1.032</v>
      </c>
      <c r="M733" s="8">
        <v>43802</v>
      </c>
      <c r="N733">
        <v>12</v>
      </c>
      <c r="O733" t="s">
        <v>71</v>
      </c>
      <c r="P733">
        <v>2019</v>
      </c>
      <c r="Q733">
        <v>0.15029999999999999</v>
      </c>
      <c r="R733" s="10"/>
      <c r="S733">
        <f>ROUND(ТабCЕС[[#This Row],[Зелений Тариф ЕЦ]]+ТабCЕС[[#This Row],[Зелений Тариф ЕЦ]]*ТабCЕС[[#This Row],[% надбавки]],4)</f>
        <v>0.15029999999999999</v>
      </c>
      <c r="T733" s="8"/>
    </row>
    <row r="734" spans="3:20">
      <c r="C734" t="s">
        <v>58</v>
      </c>
      <c r="D734" t="s">
        <v>384</v>
      </c>
      <c r="F734" s="1" t="s">
        <v>2170</v>
      </c>
      <c r="H734" t="s">
        <v>122</v>
      </c>
      <c r="K734" t="s">
        <v>2171</v>
      </c>
      <c r="L734" s="7">
        <v>10.906000000000001</v>
      </c>
      <c r="M734" s="8">
        <v>43802</v>
      </c>
      <c r="N734">
        <v>12</v>
      </c>
      <c r="O734" t="s">
        <v>71</v>
      </c>
      <c r="P734">
        <v>2019</v>
      </c>
      <c r="Q734">
        <v>0.15029999999999999</v>
      </c>
      <c r="R734" s="10"/>
      <c r="S734">
        <f>ROUND(ТабCЕС[[#This Row],[Зелений Тариф ЕЦ]]+ТабCЕС[[#This Row],[Зелений Тариф ЕЦ]]*ТабCЕС[[#This Row],[% надбавки]],4)</f>
        <v>0.15029999999999999</v>
      </c>
      <c r="T734" s="8"/>
    </row>
    <row r="735" spans="3:20">
      <c r="C735" t="s">
        <v>58</v>
      </c>
      <c r="D735" t="s">
        <v>384</v>
      </c>
      <c r="F735" s="1" t="s">
        <v>2172</v>
      </c>
      <c r="H735" t="s">
        <v>1257</v>
      </c>
      <c r="K735" t="s">
        <v>2173</v>
      </c>
      <c r="L735" s="7">
        <v>58.776000000000003</v>
      </c>
      <c r="M735" s="8">
        <v>43809</v>
      </c>
      <c r="N735">
        <v>12</v>
      </c>
      <c r="O735" t="s">
        <v>71</v>
      </c>
      <c r="P735">
        <v>2019</v>
      </c>
      <c r="Q735">
        <v>0.15029999999999999</v>
      </c>
      <c r="R735" s="10"/>
      <c r="S735">
        <f>ROUND(ТабCЕС[[#This Row],[Зелений Тариф ЕЦ]]+ТабCЕС[[#This Row],[Зелений Тариф ЕЦ]]*ТабCЕС[[#This Row],[% надбавки]],4)</f>
        <v>0.15029999999999999</v>
      </c>
      <c r="T735" s="8"/>
    </row>
    <row r="736" spans="3:20">
      <c r="C736" t="s">
        <v>58</v>
      </c>
      <c r="D736" t="s">
        <v>384</v>
      </c>
      <c r="F736" s="1" t="s">
        <v>2174</v>
      </c>
      <c r="H736" t="s">
        <v>136</v>
      </c>
      <c r="K736" t="s">
        <v>2175</v>
      </c>
      <c r="L736" s="7">
        <v>12.994</v>
      </c>
      <c r="M736" s="8">
        <v>43809</v>
      </c>
      <c r="N736">
        <v>12</v>
      </c>
      <c r="O736" t="s">
        <v>71</v>
      </c>
      <c r="P736">
        <v>2019</v>
      </c>
      <c r="Q736">
        <v>0.15029999999999999</v>
      </c>
      <c r="R736" s="10"/>
      <c r="S736">
        <f>ROUND(ТабCЕС[[#This Row],[Зелений Тариф ЕЦ]]+ТабCЕС[[#This Row],[Зелений Тариф ЕЦ]]*ТабCЕС[[#This Row],[% надбавки]],4)</f>
        <v>0.15029999999999999</v>
      </c>
      <c r="T736" s="8"/>
    </row>
    <row r="737" spans="3:20">
      <c r="C737" t="s">
        <v>58</v>
      </c>
      <c r="D737" t="s">
        <v>384</v>
      </c>
      <c r="F737" s="1" t="s">
        <v>2176</v>
      </c>
      <c r="H737" t="s">
        <v>101</v>
      </c>
      <c r="K737" t="s">
        <v>2177</v>
      </c>
      <c r="L737" s="7">
        <v>15.84</v>
      </c>
      <c r="M737" s="8">
        <v>43809</v>
      </c>
      <c r="N737">
        <v>12</v>
      </c>
      <c r="O737" t="s">
        <v>71</v>
      </c>
      <c r="P737">
        <v>2019</v>
      </c>
      <c r="Q737">
        <v>0.15029999999999999</v>
      </c>
      <c r="R737" s="10"/>
      <c r="S737">
        <f>ROUND(ТабCЕС[[#This Row],[Зелений Тариф ЕЦ]]+ТабCЕС[[#This Row],[Зелений Тариф ЕЦ]]*ТабCЕС[[#This Row],[% надбавки]],4)</f>
        <v>0.15029999999999999</v>
      </c>
      <c r="T737" s="8"/>
    </row>
    <row r="738" spans="3:20">
      <c r="C738" t="s">
        <v>58</v>
      </c>
      <c r="D738" t="s">
        <v>384</v>
      </c>
      <c r="F738" s="1" t="s">
        <v>2178</v>
      </c>
      <c r="H738" t="s">
        <v>101</v>
      </c>
      <c r="K738" t="s">
        <v>2179</v>
      </c>
      <c r="L738" s="7">
        <v>23.398</v>
      </c>
      <c r="M738" s="8">
        <v>43809</v>
      </c>
      <c r="N738">
        <v>12</v>
      </c>
      <c r="O738" t="s">
        <v>71</v>
      </c>
      <c r="P738">
        <v>2019</v>
      </c>
      <c r="Q738">
        <v>0.15029999999999999</v>
      </c>
      <c r="R738" s="10">
        <v>0.05</v>
      </c>
      <c r="S738">
        <f>ROUND(ТабCЕС[[#This Row],[Зелений Тариф ЕЦ]]+ТабCЕС[[#This Row],[Зелений Тариф ЕЦ]]*ТабCЕС[[#This Row],[% надбавки]],4)</f>
        <v>0.1578</v>
      </c>
      <c r="T738" s="8">
        <v>43819</v>
      </c>
    </row>
    <row r="739" spans="3:20">
      <c r="C739" t="s">
        <v>58</v>
      </c>
      <c r="D739" t="s">
        <v>384</v>
      </c>
      <c r="F739" s="1" t="s">
        <v>2180</v>
      </c>
      <c r="H739" t="s">
        <v>101</v>
      </c>
      <c r="K739" t="s">
        <v>2181</v>
      </c>
      <c r="L739" s="7">
        <v>15.391</v>
      </c>
      <c r="M739" s="8">
        <v>43809</v>
      </c>
      <c r="N739">
        <v>12</v>
      </c>
      <c r="O739" t="s">
        <v>71</v>
      </c>
      <c r="P739">
        <v>2019</v>
      </c>
      <c r="Q739">
        <v>0.15029999999999999</v>
      </c>
      <c r="R739" s="10">
        <v>0.05</v>
      </c>
      <c r="S739">
        <f>ROUND(ТабCЕС[[#This Row],[Зелений Тариф ЕЦ]]+ТабCЕС[[#This Row],[Зелений Тариф ЕЦ]]*ТабCЕС[[#This Row],[% надбавки]],4)</f>
        <v>0.1578</v>
      </c>
      <c r="T739" s="8">
        <v>43809</v>
      </c>
    </row>
    <row r="740" spans="3:20">
      <c r="C740" t="s">
        <v>58</v>
      </c>
      <c r="D740" t="s">
        <v>384</v>
      </c>
      <c r="F740" s="1" t="s">
        <v>2180</v>
      </c>
      <c r="H740" t="s">
        <v>101</v>
      </c>
      <c r="K740" t="s">
        <v>2182</v>
      </c>
      <c r="L740" s="7">
        <v>8.8469999999999995</v>
      </c>
      <c r="M740" s="8">
        <v>43809</v>
      </c>
      <c r="N740">
        <v>12</v>
      </c>
      <c r="O740" t="s">
        <v>71</v>
      </c>
      <c r="P740">
        <v>2019</v>
      </c>
      <c r="Q740">
        <v>0.15029999999999999</v>
      </c>
      <c r="R740" s="10">
        <v>0.05</v>
      </c>
      <c r="S740">
        <f>ROUND(ТабCЕС[[#This Row],[Зелений Тариф ЕЦ]]+ТабCЕС[[#This Row],[Зелений Тариф ЕЦ]]*ТабCЕС[[#This Row],[% надбавки]],4)</f>
        <v>0.1578</v>
      </c>
      <c r="T740" s="8">
        <v>43809</v>
      </c>
    </row>
    <row r="741" spans="3:20">
      <c r="C741" t="s">
        <v>58</v>
      </c>
      <c r="D741" t="s">
        <v>384</v>
      </c>
      <c r="F741" s="1" t="s">
        <v>2183</v>
      </c>
      <c r="H741" t="s">
        <v>122</v>
      </c>
      <c r="K741" t="s">
        <v>2184</v>
      </c>
      <c r="L741" s="7">
        <v>18.96</v>
      </c>
      <c r="M741" s="8">
        <v>43809</v>
      </c>
      <c r="N741">
        <v>12</v>
      </c>
      <c r="O741" t="s">
        <v>71</v>
      </c>
      <c r="P741">
        <v>2019</v>
      </c>
      <c r="Q741">
        <v>0.15029999999999999</v>
      </c>
      <c r="R741" s="10"/>
      <c r="S741">
        <f>ROUND(ТабCЕС[[#This Row],[Зелений Тариф ЕЦ]]+ТабCЕС[[#This Row],[Зелений Тариф ЕЦ]]*ТабCЕС[[#This Row],[% надбавки]],4)</f>
        <v>0.15029999999999999</v>
      </c>
      <c r="T741" s="8"/>
    </row>
    <row r="742" spans="3:20">
      <c r="C742" t="s">
        <v>58</v>
      </c>
      <c r="D742" t="s">
        <v>384</v>
      </c>
      <c r="F742" s="1" t="s">
        <v>2185</v>
      </c>
      <c r="H742" t="s">
        <v>172</v>
      </c>
      <c r="K742" t="s">
        <v>2186</v>
      </c>
      <c r="L742" s="7">
        <v>11.006</v>
      </c>
      <c r="M742" s="8">
        <v>43809</v>
      </c>
      <c r="N742">
        <v>12</v>
      </c>
      <c r="O742" t="s">
        <v>71</v>
      </c>
      <c r="P742">
        <v>2019</v>
      </c>
      <c r="Q742">
        <v>0.15029999999999999</v>
      </c>
      <c r="R742" s="10"/>
      <c r="S742">
        <f>ROUND(ТабCЕС[[#This Row],[Зелений Тариф ЕЦ]]+ТабCЕС[[#This Row],[Зелений Тариф ЕЦ]]*ТабCЕС[[#This Row],[% надбавки]],4)</f>
        <v>0.15029999999999999</v>
      </c>
      <c r="T742" s="8"/>
    </row>
    <row r="743" spans="3:20">
      <c r="C743" t="s">
        <v>58</v>
      </c>
      <c r="D743" t="s">
        <v>384</v>
      </c>
      <c r="F743" s="1" t="s">
        <v>2187</v>
      </c>
      <c r="H743" t="s">
        <v>172</v>
      </c>
      <c r="K743" t="s">
        <v>2188</v>
      </c>
      <c r="L743" s="7">
        <v>1.087</v>
      </c>
      <c r="M743" s="8">
        <v>43809</v>
      </c>
      <c r="N743">
        <v>12</v>
      </c>
      <c r="O743" t="s">
        <v>71</v>
      </c>
      <c r="P743">
        <v>2019</v>
      </c>
      <c r="Q743">
        <v>0.15029999999999999</v>
      </c>
      <c r="R743" s="10"/>
      <c r="S743">
        <f>ROUND(ТабCЕС[[#This Row],[Зелений Тариф ЕЦ]]+ТабCЕС[[#This Row],[Зелений Тариф ЕЦ]]*ТабCЕС[[#This Row],[% надбавки]],4)</f>
        <v>0.15029999999999999</v>
      </c>
      <c r="T743" s="8"/>
    </row>
    <row r="744" spans="3:20">
      <c r="C744" t="s">
        <v>58</v>
      </c>
      <c r="D744" t="s">
        <v>384</v>
      </c>
      <c r="F744" s="1" t="s">
        <v>2189</v>
      </c>
      <c r="H744" t="s">
        <v>198</v>
      </c>
      <c r="K744" t="s">
        <v>2190</v>
      </c>
      <c r="L744" s="7">
        <v>9.4789999999999992</v>
      </c>
      <c r="M744" s="8">
        <v>43809</v>
      </c>
      <c r="N744">
        <v>12</v>
      </c>
      <c r="O744" t="s">
        <v>71</v>
      </c>
      <c r="P744">
        <v>2019</v>
      </c>
      <c r="Q744">
        <v>0.15029999999999999</v>
      </c>
      <c r="R744" s="10"/>
      <c r="S744">
        <f>ROUND(ТабCЕС[[#This Row],[Зелений Тариф ЕЦ]]+ТабCЕС[[#This Row],[Зелений Тариф ЕЦ]]*ТабCЕС[[#This Row],[% надбавки]],4)</f>
        <v>0.15029999999999999</v>
      </c>
      <c r="T744" s="8"/>
    </row>
    <row r="745" spans="3:20">
      <c r="C745" t="s">
        <v>58</v>
      </c>
      <c r="D745" t="s">
        <v>384</v>
      </c>
      <c r="F745" s="1" t="s">
        <v>2191</v>
      </c>
      <c r="H745" t="s">
        <v>98</v>
      </c>
      <c r="K745" t="s">
        <v>2192</v>
      </c>
      <c r="L745" s="7">
        <v>4.2119999999999997</v>
      </c>
      <c r="M745" s="8">
        <v>43809</v>
      </c>
      <c r="N745">
        <v>12</v>
      </c>
      <c r="O745" t="s">
        <v>71</v>
      </c>
      <c r="P745">
        <v>2019</v>
      </c>
      <c r="Q745">
        <v>0.15029999999999999</v>
      </c>
      <c r="R745" s="10"/>
      <c r="S745">
        <f>ROUND(ТабCЕС[[#This Row],[Зелений Тариф ЕЦ]]+ТабCЕС[[#This Row],[Зелений Тариф ЕЦ]]*ТабCЕС[[#This Row],[% надбавки]],4)</f>
        <v>0.15029999999999999</v>
      </c>
      <c r="T745" s="8"/>
    </row>
    <row r="746" spans="3:20">
      <c r="C746" t="s">
        <v>58</v>
      </c>
      <c r="D746" t="s">
        <v>384</v>
      </c>
      <c r="F746" s="1" t="s">
        <v>2193</v>
      </c>
      <c r="H746" t="s">
        <v>82</v>
      </c>
      <c r="K746" t="s">
        <v>2194</v>
      </c>
      <c r="L746" s="7">
        <v>3.9969999999999999</v>
      </c>
      <c r="M746" s="8">
        <v>43809</v>
      </c>
      <c r="N746">
        <v>12</v>
      </c>
      <c r="O746" t="s">
        <v>71</v>
      </c>
      <c r="P746">
        <v>2019</v>
      </c>
      <c r="Q746">
        <v>0.15029999999999999</v>
      </c>
      <c r="R746" s="10"/>
      <c r="S746">
        <f>ROUND(ТабCЕС[[#This Row],[Зелений Тариф ЕЦ]]+ТабCЕС[[#This Row],[Зелений Тариф ЕЦ]]*ТабCЕС[[#This Row],[% надбавки]],4)</f>
        <v>0.15029999999999999</v>
      </c>
      <c r="T746" s="8"/>
    </row>
    <row r="747" spans="3:20">
      <c r="C747" t="s">
        <v>58</v>
      </c>
      <c r="D747" t="s">
        <v>384</v>
      </c>
      <c r="F747" s="1" t="s">
        <v>2195</v>
      </c>
      <c r="H747" t="s">
        <v>233</v>
      </c>
      <c r="K747" t="s">
        <v>2196</v>
      </c>
      <c r="L747" s="7">
        <v>0.312</v>
      </c>
      <c r="M747" s="8">
        <v>43809</v>
      </c>
      <c r="N747">
        <v>12</v>
      </c>
      <c r="O747" t="s">
        <v>71</v>
      </c>
      <c r="P747">
        <v>2019</v>
      </c>
      <c r="Q747">
        <v>0.15029999999999999</v>
      </c>
      <c r="R747" s="10"/>
      <c r="S747">
        <f>ROUND(ТабCЕС[[#This Row],[Зелений Тариф ЕЦ]]+ТабCЕС[[#This Row],[Зелений Тариф ЕЦ]]*ТабCЕС[[#This Row],[% надбавки]],4)</f>
        <v>0.15029999999999999</v>
      </c>
      <c r="T747" s="8"/>
    </row>
    <row r="748" spans="3:20">
      <c r="D748" t="s">
        <v>384</v>
      </c>
      <c r="F748" s="1" t="s">
        <v>2197</v>
      </c>
      <c r="H748" t="s">
        <v>69</v>
      </c>
      <c r="K748" t="s">
        <v>2198</v>
      </c>
      <c r="L748" s="7">
        <v>6.0940000000000003</v>
      </c>
      <c r="M748" s="8">
        <v>43809</v>
      </c>
      <c r="N748">
        <v>12</v>
      </c>
      <c r="O748" t="s">
        <v>71</v>
      </c>
      <c r="P748">
        <v>2019</v>
      </c>
      <c r="Q748">
        <v>0.15029999999999999</v>
      </c>
      <c r="R748" s="10"/>
      <c r="S748">
        <f>ROUND(ТабCЕС[[#This Row],[Зелений Тариф ЕЦ]]+ТабCЕС[[#This Row],[Зелений Тариф ЕЦ]]*ТабCЕС[[#This Row],[% надбавки]],4)</f>
        <v>0.15029999999999999</v>
      </c>
      <c r="T748" s="8"/>
    </row>
    <row r="749" spans="3:20">
      <c r="C749" t="s">
        <v>58</v>
      </c>
      <c r="D749" t="s">
        <v>384</v>
      </c>
      <c r="F749" s="1" t="s">
        <v>2199</v>
      </c>
      <c r="H749" t="s">
        <v>122</v>
      </c>
      <c r="K749" t="s">
        <v>2200</v>
      </c>
      <c r="L749" s="7">
        <v>1.242</v>
      </c>
      <c r="M749" s="8">
        <v>43809</v>
      </c>
      <c r="N749">
        <v>12</v>
      </c>
      <c r="O749" t="s">
        <v>71</v>
      </c>
      <c r="P749">
        <v>2019</v>
      </c>
      <c r="Q749">
        <v>0.15029999999999999</v>
      </c>
      <c r="R749" s="10"/>
      <c r="S749">
        <f>ROUND(ТабCЕС[[#This Row],[Зелений Тариф ЕЦ]]+ТабCЕС[[#This Row],[Зелений Тариф ЕЦ]]*ТабCЕС[[#This Row],[% надбавки]],4)</f>
        <v>0.15029999999999999</v>
      </c>
      <c r="T749" s="8"/>
    </row>
    <row r="750" spans="3:20">
      <c r="C750" t="s">
        <v>58</v>
      </c>
      <c r="D750" t="s">
        <v>384</v>
      </c>
      <c r="F750" s="1" t="s">
        <v>2201</v>
      </c>
      <c r="H750" t="s">
        <v>198</v>
      </c>
      <c r="K750" t="s">
        <v>2202</v>
      </c>
      <c r="L750" s="7">
        <v>4.7E-2</v>
      </c>
      <c r="M750" s="8">
        <v>43809</v>
      </c>
      <c r="N750">
        <v>12</v>
      </c>
      <c r="O750" t="s">
        <v>71</v>
      </c>
      <c r="P750">
        <v>2019</v>
      </c>
      <c r="Q750">
        <v>0.16370000000000001</v>
      </c>
      <c r="R750" s="10"/>
      <c r="S750">
        <f>ROUND(ТабCЕС[[#This Row],[Зелений Тариф ЕЦ]]+ТабCЕС[[#This Row],[Зелений Тариф ЕЦ]]*ТабCЕС[[#This Row],[% надбавки]],4)</f>
        <v>0.16370000000000001</v>
      </c>
      <c r="T750" s="8"/>
    </row>
    <row r="751" spans="3:20">
      <c r="C751" t="s">
        <v>58</v>
      </c>
      <c r="D751" t="s">
        <v>384</v>
      </c>
      <c r="F751" s="1" t="s">
        <v>1729</v>
      </c>
      <c r="H751" t="s">
        <v>1465</v>
      </c>
      <c r="K751" t="s">
        <v>2203</v>
      </c>
      <c r="L751" s="7">
        <v>0.314</v>
      </c>
      <c r="M751" s="8">
        <v>43809</v>
      </c>
      <c r="N751">
        <v>12</v>
      </c>
      <c r="O751" t="s">
        <v>71</v>
      </c>
      <c r="P751">
        <v>2019</v>
      </c>
      <c r="Q751">
        <v>0.16370000000000001</v>
      </c>
      <c r="R751" s="10"/>
      <c r="S751">
        <f>ROUND(ТабCЕС[[#This Row],[Зелений Тариф ЕЦ]]+ТабCЕС[[#This Row],[Зелений Тариф ЕЦ]]*ТабCЕС[[#This Row],[% надбавки]],4)</f>
        <v>0.16370000000000001</v>
      </c>
      <c r="T751" s="8"/>
    </row>
    <row r="752" spans="3:20">
      <c r="C752" t="s">
        <v>58</v>
      </c>
      <c r="D752" t="s">
        <v>384</v>
      </c>
      <c r="F752" s="1" t="s">
        <v>2204</v>
      </c>
      <c r="H752" t="s">
        <v>82</v>
      </c>
      <c r="K752" t="s">
        <v>2205</v>
      </c>
      <c r="L752" s="7">
        <v>12.852</v>
      </c>
      <c r="M752" s="8">
        <v>43813</v>
      </c>
      <c r="N752">
        <v>12</v>
      </c>
      <c r="O752" t="s">
        <v>71</v>
      </c>
      <c r="P752">
        <v>2019</v>
      </c>
      <c r="Q752">
        <v>0.15029999999999999</v>
      </c>
      <c r="R752" s="10"/>
      <c r="S752">
        <f>ROUND(ТабCЕС[[#This Row],[Зелений Тариф ЕЦ]]+ТабCЕС[[#This Row],[Зелений Тариф ЕЦ]]*ТабCЕС[[#This Row],[% надбавки]],4)</f>
        <v>0.15029999999999999</v>
      </c>
      <c r="T752" s="8"/>
    </row>
    <row r="753" spans="3:20">
      <c r="C753" t="s">
        <v>58</v>
      </c>
      <c r="D753" t="s">
        <v>384</v>
      </c>
      <c r="F753" s="1" t="s">
        <v>2206</v>
      </c>
      <c r="H753" t="s">
        <v>176</v>
      </c>
      <c r="K753" t="s">
        <v>2207</v>
      </c>
      <c r="L753" s="7">
        <v>14.763999999999999</v>
      </c>
      <c r="M753" s="8">
        <v>43813</v>
      </c>
      <c r="N753">
        <v>12</v>
      </c>
      <c r="O753" t="s">
        <v>71</v>
      </c>
      <c r="P753">
        <v>2019</v>
      </c>
      <c r="Q753">
        <v>0.15029999999999999</v>
      </c>
      <c r="R753" s="10"/>
      <c r="S753">
        <f>ROUND(ТабCЕС[[#This Row],[Зелений Тариф ЕЦ]]+ТабCЕС[[#This Row],[Зелений Тариф ЕЦ]]*ТабCЕС[[#This Row],[% надбавки]],4)</f>
        <v>0.15029999999999999</v>
      </c>
      <c r="T753" s="8"/>
    </row>
    <row r="754" spans="3:20">
      <c r="C754" t="s">
        <v>58</v>
      </c>
      <c r="D754" t="s">
        <v>384</v>
      </c>
      <c r="F754" s="1" t="s">
        <v>2208</v>
      </c>
      <c r="H754" t="s">
        <v>176</v>
      </c>
      <c r="K754" t="s">
        <v>2209</v>
      </c>
      <c r="L754" s="7">
        <v>18.591000000000001</v>
      </c>
      <c r="M754" s="8">
        <v>43813</v>
      </c>
      <c r="N754">
        <v>12</v>
      </c>
      <c r="O754" t="s">
        <v>71</v>
      </c>
      <c r="P754">
        <v>2019</v>
      </c>
      <c r="Q754">
        <v>0.15029999999999999</v>
      </c>
      <c r="R754" s="10"/>
      <c r="S754">
        <f>ROUND(ТабCЕС[[#This Row],[Зелений Тариф ЕЦ]]+ТабCЕС[[#This Row],[Зелений Тариф ЕЦ]]*ТабCЕС[[#This Row],[% надбавки]],4)</f>
        <v>0.15029999999999999</v>
      </c>
      <c r="T754" s="8"/>
    </row>
    <row r="755" spans="3:20">
      <c r="C755" t="s">
        <v>58</v>
      </c>
      <c r="D755" t="s">
        <v>384</v>
      </c>
      <c r="F755" s="1" t="s">
        <v>2210</v>
      </c>
      <c r="H755" t="s">
        <v>136</v>
      </c>
      <c r="K755" t="s">
        <v>2211</v>
      </c>
      <c r="L755" s="7">
        <v>18.198</v>
      </c>
      <c r="M755" s="8">
        <v>43813</v>
      </c>
      <c r="N755">
        <v>12</v>
      </c>
      <c r="O755" t="s">
        <v>71</v>
      </c>
      <c r="P755">
        <v>2019</v>
      </c>
      <c r="Q755">
        <v>0.15029999999999999</v>
      </c>
      <c r="R755" s="10"/>
      <c r="S755">
        <f>ROUND(ТабCЕС[[#This Row],[Зелений Тариф ЕЦ]]+ТабCЕС[[#This Row],[Зелений Тариф ЕЦ]]*ТабCЕС[[#This Row],[% надбавки]],4)</f>
        <v>0.15029999999999999</v>
      </c>
      <c r="T755" s="8"/>
    </row>
    <row r="756" spans="3:20">
      <c r="C756" t="s">
        <v>58</v>
      </c>
      <c r="D756" t="s">
        <v>384</v>
      </c>
      <c r="F756" s="1" t="s">
        <v>2212</v>
      </c>
      <c r="H756" t="s">
        <v>101</v>
      </c>
      <c r="K756" t="s">
        <v>2213</v>
      </c>
      <c r="L756" s="7">
        <v>15.84</v>
      </c>
      <c r="M756" s="8">
        <v>43813</v>
      </c>
      <c r="N756">
        <v>12</v>
      </c>
      <c r="O756" t="s">
        <v>71</v>
      </c>
      <c r="P756">
        <v>2019</v>
      </c>
      <c r="Q756">
        <v>0.15029999999999999</v>
      </c>
      <c r="R756" s="10"/>
      <c r="S756">
        <f>ROUND(ТабCЕС[[#This Row],[Зелений Тариф ЕЦ]]+ТабCЕС[[#This Row],[Зелений Тариф ЕЦ]]*ТабCЕС[[#This Row],[% надбавки]],4)</f>
        <v>0.15029999999999999</v>
      </c>
      <c r="T756" s="8"/>
    </row>
    <row r="757" spans="3:20">
      <c r="C757" t="s">
        <v>58</v>
      </c>
      <c r="D757" t="s">
        <v>384</v>
      </c>
      <c r="F757" s="1" t="s">
        <v>2214</v>
      </c>
      <c r="H757" t="s">
        <v>1257</v>
      </c>
      <c r="K757" t="s">
        <v>2215</v>
      </c>
      <c r="L757" s="7">
        <v>10.537000000000001</v>
      </c>
      <c r="M757" s="8">
        <v>43813</v>
      </c>
      <c r="N757">
        <v>12</v>
      </c>
      <c r="O757" t="s">
        <v>71</v>
      </c>
      <c r="P757">
        <v>2019</v>
      </c>
      <c r="Q757">
        <v>0.15029999999999999</v>
      </c>
      <c r="R757" s="10"/>
      <c r="S757">
        <f>ROUND(ТабCЕС[[#This Row],[Зелений Тариф ЕЦ]]+ТабCЕС[[#This Row],[Зелений Тариф ЕЦ]]*ТабCЕС[[#This Row],[% надбавки]],4)</f>
        <v>0.15029999999999999</v>
      </c>
      <c r="T757" s="8"/>
    </row>
    <row r="758" spans="3:20">
      <c r="C758" t="s">
        <v>58</v>
      </c>
      <c r="D758" t="s">
        <v>384</v>
      </c>
      <c r="F758" s="1" t="s">
        <v>2216</v>
      </c>
      <c r="H758" t="s">
        <v>82</v>
      </c>
      <c r="K758" t="s">
        <v>2217</v>
      </c>
      <c r="L758" s="7">
        <v>15.391999999999999</v>
      </c>
      <c r="M758" s="8">
        <v>43813</v>
      </c>
      <c r="N758">
        <v>12</v>
      </c>
      <c r="O758" t="s">
        <v>71</v>
      </c>
      <c r="P758">
        <v>2019</v>
      </c>
      <c r="Q758">
        <v>0.15029999999999999</v>
      </c>
      <c r="R758" s="10"/>
      <c r="S758">
        <f>ROUND(ТабCЕС[[#This Row],[Зелений Тариф ЕЦ]]+ТабCЕС[[#This Row],[Зелений Тариф ЕЦ]]*ТабCЕС[[#This Row],[% надбавки]],4)</f>
        <v>0.15029999999999999</v>
      </c>
      <c r="T758" s="8"/>
    </row>
    <row r="759" spans="3:20">
      <c r="C759" t="s">
        <v>58</v>
      </c>
      <c r="D759" t="s">
        <v>384</v>
      </c>
      <c r="F759" s="1" t="s">
        <v>2218</v>
      </c>
      <c r="H759" t="s">
        <v>73</v>
      </c>
      <c r="K759" t="s">
        <v>2219</v>
      </c>
      <c r="L759" s="7">
        <v>2.052</v>
      </c>
      <c r="M759" s="8">
        <v>43813</v>
      </c>
      <c r="N759">
        <v>12</v>
      </c>
      <c r="O759" t="s">
        <v>71</v>
      </c>
      <c r="P759">
        <v>2019</v>
      </c>
      <c r="Q759">
        <v>0.15029999999999999</v>
      </c>
      <c r="R759" s="10"/>
      <c r="S759">
        <f>ROUND(ТабCЕС[[#This Row],[Зелений Тариф ЕЦ]]+ТабCЕС[[#This Row],[Зелений Тариф ЕЦ]]*ТабCЕС[[#This Row],[% надбавки]],4)</f>
        <v>0.15029999999999999</v>
      </c>
      <c r="T759" s="8"/>
    </row>
    <row r="760" spans="3:20">
      <c r="C760" t="s">
        <v>58</v>
      </c>
      <c r="D760" t="s">
        <v>384</v>
      </c>
      <c r="F760" s="1" t="s">
        <v>2220</v>
      </c>
      <c r="H760" t="s">
        <v>122</v>
      </c>
      <c r="K760" t="s">
        <v>2221</v>
      </c>
      <c r="L760" s="7">
        <v>6.367</v>
      </c>
      <c r="M760" s="8">
        <v>43813</v>
      </c>
      <c r="N760">
        <v>12</v>
      </c>
      <c r="O760" t="s">
        <v>71</v>
      </c>
      <c r="P760">
        <v>2019</v>
      </c>
      <c r="Q760">
        <v>0.15029999999999999</v>
      </c>
      <c r="R760" s="10"/>
      <c r="S760">
        <f>ROUND(ТабCЕС[[#This Row],[Зелений Тариф ЕЦ]]+ТабCЕС[[#This Row],[Зелений Тариф ЕЦ]]*ТабCЕС[[#This Row],[% надбавки]],4)</f>
        <v>0.15029999999999999</v>
      </c>
      <c r="T760" s="8"/>
    </row>
    <row r="761" spans="3:20">
      <c r="C761" t="s">
        <v>58</v>
      </c>
      <c r="D761" t="s">
        <v>384</v>
      </c>
      <c r="F761" s="1" t="s">
        <v>2222</v>
      </c>
      <c r="H761" t="s">
        <v>136</v>
      </c>
      <c r="K761" t="s">
        <v>2223</v>
      </c>
      <c r="L761" s="7">
        <v>3.1659999999999999</v>
      </c>
      <c r="M761" s="8">
        <v>43813</v>
      </c>
      <c r="N761">
        <v>12</v>
      </c>
      <c r="O761" t="s">
        <v>71</v>
      </c>
      <c r="P761">
        <v>2019</v>
      </c>
      <c r="Q761">
        <v>0.15029999999999999</v>
      </c>
      <c r="R761" s="10"/>
      <c r="S761">
        <f>ROUND(ТабCЕС[[#This Row],[Зелений Тариф ЕЦ]]+ТабCЕС[[#This Row],[Зелений Тариф ЕЦ]]*ТабCЕС[[#This Row],[% надбавки]],4)</f>
        <v>0.15029999999999999</v>
      </c>
      <c r="T761" s="8"/>
    </row>
    <row r="762" spans="3:20">
      <c r="C762" t="s">
        <v>58</v>
      </c>
      <c r="D762" t="s">
        <v>384</v>
      </c>
      <c r="F762" s="1" t="s">
        <v>2224</v>
      </c>
      <c r="H762" t="s">
        <v>136</v>
      </c>
      <c r="K762" t="s">
        <v>2225</v>
      </c>
      <c r="L762" s="7">
        <v>2.2719999999999998</v>
      </c>
      <c r="M762" s="8">
        <v>43813</v>
      </c>
      <c r="N762">
        <v>12</v>
      </c>
      <c r="O762" t="s">
        <v>71</v>
      </c>
      <c r="P762">
        <v>2019</v>
      </c>
      <c r="Q762">
        <v>0.15029999999999999</v>
      </c>
      <c r="R762" s="10"/>
      <c r="S762">
        <f>ROUND(ТабCЕС[[#This Row],[Зелений Тариф ЕЦ]]+ТабCЕС[[#This Row],[Зелений Тариф ЕЦ]]*ТабCЕС[[#This Row],[% надбавки]],4)</f>
        <v>0.15029999999999999</v>
      </c>
      <c r="T762" s="8"/>
    </row>
    <row r="763" spans="3:20">
      <c r="C763" t="s">
        <v>58</v>
      </c>
      <c r="D763" t="s">
        <v>384</v>
      </c>
      <c r="F763" s="1" t="s">
        <v>2226</v>
      </c>
      <c r="H763" t="s">
        <v>122</v>
      </c>
      <c r="K763" t="s">
        <v>2227</v>
      </c>
      <c r="L763" s="7">
        <v>1.1160000000000001</v>
      </c>
      <c r="M763" s="8">
        <v>43813</v>
      </c>
      <c r="N763">
        <v>12</v>
      </c>
      <c r="O763" t="s">
        <v>71</v>
      </c>
      <c r="P763">
        <v>2019</v>
      </c>
      <c r="Q763">
        <v>0.15029999999999999</v>
      </c>
      <c r="R763" s="10"/>
      <c r="S763">
        <f>ROUND(ТабCЕС[[#This Row],[Зелений Тариф ЕЦ]]+ТабCЕС[[#This Row],[Зелений Тариф ЕЦ]]*ТабCЕС[[#This Row],[% надбавки]],4)</f>
        <v>0.15029999999999999</v>
      </c>
      <c r="T763" s="8"/>
    </row>
    <row r="764" spans="3:20">
      <c r="C764" t="s">
        <v>58</v>
      </c>
      <c r="D764" t="s">
        <v>384</v>
      </c>
      <c r="F764" s="1" t="s">
        <v>2228</v>
      </c>
      <c r="H764" t="s">
        <v>163</v>
      </c>
      <c r="K764" t="s">
        <v>2229</v>
      </c>
      <c r="L764" s="7">
        <v>0.625</v>
      </c>
      <c r="M764" s="8">
        <v>43813</v>
      </c>
      <c r="N764">
        <v>12</v>
      </c>
      <c r="O764" t="s">
        <v>71</v>
      </c>
      <c r="P764">
        <v>2019</v>
      </c>
      <c r="Q764">
        <v>0.15029999999999999</v>
      </c>
      <c r="R764" s="10"/>
      <c r="S764">
        <f>ROUND(ТабCЕС[[#This Row],[Зелений Тариф ЕЦ]]+ТабCЕС[[#This Row],[Зелений Тариф ЕЦ]]*ТабCЕС[[#This Row],[% надбавки]],4)</f>
        <v>0.15029999999999999</v>
      </c>
      <c r="T764" s="8"/>
    </row>
    <row r="765" spans="3:20">
      <c r="C765" t="s">
        <v>58</v>
      </c>
      <c r="D765" t="s">
        <v>384</v>
      </c>
      <c r="F765" s="1" t="s">
        <v>2230</v>
      </c>
      <c r="H765" t="s">
        <v>107</v>
      </c>
      <c r="K765" t="s">
        <v>2231</v>
      </c>
      <c r="L765" s="7">
        <v>5.9139999999999997</v>
      </c>
      <c r="M765" s="8">
        <v>43813</v>
      </c>
      <c r="N765">
        <v>12</v>
      </c>
      <c r="O765" t="s">
        <v>71</v>
      </c>
      <c r="P765">
        <v>2019</v>
      </c>
      <c r="Q765">
        <v>0.15029999999999999</v>
      </c>
      <c r="R765" s="10"/>
      <c r="S765">
        <f>ROUND(ТабCЕС[[#This Row],[Зелений Тариф ЕЦ]]+ТабCЕС[[#This Row],[Зелений Тариф ЕЦ]]*ТабCЕС[[#This Row],[% надбавки]],4)</f>
        <v>0.15029999999999999</v>
      </c>
      <c r="T765" s="8"/>
    </row>
    <row r="766" spans="3:20">
      <c r="C766" t="s">
        <v>58</v>
      </c>
      <c r="D766" t="s">
        <v>384</v>
      </c>
      <c r="F766" s="1" t="s">
        <v>2232</v>
      </c>
      <c r="H766" t="s">
        <v>65</v>
      </c>
      <c r="K766" t="s">
        <v>2233</v>
      </c>
      <c r="L766" s="7">
        <v>2.1429999999999998</v>
      </c>
      <c r="M766" s="8">
        <v>43813</v>
      </c>
      <c r="N766">
        <v>12</v>
      </c>
      <c r="O766" t="s">
        <v>71</v>
      </c>
      <c r="P766">
        <v>2019</v>
      </c>
      <c r="Q766">
        <v>0.15029999999999999</v>
      </c>
      <c r="R766" s="10"/>
      <c r="S766">
        <f>ROUND(ТабCЕС[[#This Row],[Зелений Тариф ЕЦ]]+ТабCЕС[[#This Row],[Зелений Тариф ЕЦ]]*ТабCЕС[[#This Row],[% надбавки]],4)</f>
        <v>0.15029999999999999</v>
      </c>
      <c r="T766" s="8"/>
    </row>
    <row r="767" spans="3:20">
      <c r="C767" t="s">
        <v>58</v>
      </c>
      <c r="D767" t="s">
        <v>384</v>
      </c>
      <c r="F767" s="1" t="s">
        <v>2234</v>
      </c>
      <c r="H767" t="s">
        <v>233</v>
      </c>
      <c r="K767" t="s">
        <v>2235</v>
      </c>
      <c r="L767" s="7">
        <v>0.75700000000000001</v>
      </c>
      <c r="M767" s="8">
        <v>43813</v>
      </c>
      <c r="N767">
        <v>12</v>
      </c>
      <c r="O767" t="s">
        <v>71</v>
      </c>
      <c r="P767">
        <v>2019</v>
      </c>
      <c r="Q767">
        <v>0.15029999999999999</v>
      </c>
      <c r="R767" s="10"/>
      <c r="S767">
        <f>ROUND(ТабCЕС[[#This Row],[Зелений Тариф ЕЦ]]+ТабCЕС[[#This Row],[Зелений Тариф ЕЦ]]*ТабCЕС[[#This Row],[% надбавки]],4)</f>
        <v>0.15029999999999999</v>
      </c>
      <c r="T767" s="8"/>
    </row>
    <row r="768" spans="3:20">
      <c r="C768" t="s">
        <v>58</v>
      </c>
      <c r="D768" t="s">
        <v>384</v>
      </c>
      <c r="F768" s="1" t="s">
        <v>2236</v>
      </c>
      <c r="H768" t="s">
        <v>101</v>
      </c>
      <c r="K768" t="s">
        <v>2237</v>
      </c>
      <c r="L768" s="7">
        <v>5.2389999999999999</v>
      </c>
      <c r="M768" s="8">
        <v>43813</v>
      </c>
      <c r="N768">
        <v>12</v>
      </c>
      <c r="O768" t="s">
        <v>71</v>
      </c>
      <c r="P768">
        <v>2019</v>
      </c>
      <c r="Q768">
        <v>0.15029999999999999</v>
      </c>
      <c r="R768" s="10"/>
      <c r="S768">
        <f>ROUND(ТабCЕС[[#This Row],[Зелений Тариф ЕЦ]]+ТабCЕС[[#This Row],[Зелений Тариф ЕЦ]]*ТабCЕС[[#This Row],[% надбавки]],4)</f>
        <v>0.15029999999999999</v>
      </c>
      <c r="T768" s="8"/>
    </row>
    <row r="769" spans="3:20">
      <c r="C769" t="s">
        <v>58</v>
      </c>
      <c r="D769" t="s">
        <v>384</v>
      </c>
      <c r="F769" s="1" t="s">
        <v>2238</v>
      </c>
      <c r="H769" t="s">
        <v>172</v>
      </c>
      <c r="K769" t="s">
        <v>2239</v>
      </c>
      <c r="L769" s="7">
        <v>2.504</v>
      </c>
      <c r="M769" s="8">
        <v>43813</v>
      </c>
      <c r="N769">
        <v>12</v>
      </c>
      <c r="O769" t="s">
        <v>71</v>
      </c>
      <c r="P769">
        <v>2019</v>
      </c>
      <c r="Q769">
        <v>0.15029999999999999</v>
      </c>
      <c r="R769" s="10"/>
      <c r="S769">
        <f>ROUND(ТабCЕС[[#This Row],[Зелений Тариф ЕЦ]]+ТабCЕС[[#This Row],[Зелений Тариф ЕЦ]]*ТабCЕС[[#This Row],[% надбавки]],4)</f>
        <v>0.15029999999999999</v>
      </c>
      <c r="T769" s="8"/>
    </row>
    <row r="770" spans="3:20">
      <c r="C770" t="s">
        <v>58</v>
      </c>
      <c r="D770" t="s">
        <v>384</v>
      </c>
      <c r="F770" s="1" t="s">
        <v>2240</v>
      </c>
      <c r="H770" t="s">
        <v>73</v>
      </c>
      <c r="K770" t="s">
        <v>2241</v>
      </c>
      <c r="L770" s="7">
        <v>6.0039999999999996</v>
      </c>
      <c r="M770" s="8">
        <v>43813</v>
      </c>
      <c r="N770">
        <v>12</v>
      </c>
      <c r="O770" t="s">
        <v>71</v>
      </c>
      <c r="P770">
        <v>2019</v>
      </c>
      <c r="Q770">
        <v>0.15029999999999999</v>
      </c>
      <c r="R770" s="10"/>
      <c r="S770">
        <f>ROUND(ТабCЕС[[#This Row],[Зелений Тариф ЕЦ]]+ТабCЕС[[#This Row],[Зелений Тариф ЕЦ]]*ТабCЕС[[#This Row],[% надбавки]],4)</f>
        <v>0.15029999999999999</v>
      </c>
      <c r="T770" s="8"/>
    </row>
    <row r="771" spans="3:20">
      <c r="C771" t="s">
        <v>58</v>
      </c>
      <c r="D771" t="s">
        <v>384</v>
      </c>
      <c r="F771" s="1" t="s">
        <v>2242</v>
      </c>
      <c r="H771" t="s">
        <v>65</v>
      </c>
      <c r="K771" t="s">
        <v>2243</v>
      </c>
      <c r="L771" s="7">
        <v>8.6530000000000005</v>
      </c>
      <c r="M771" s="8">
        <v>43813</v>
      </c>
      <c r="N771">
        <v>12</v>
      </c>
      <c r="O771" t="s">
        <v>71</v>
      </c>
      <c r="P771">
        <v>2019</v>
      </c>
      <c r="Q771">
        <v>0.15029999999999999</v>
      </c>
      <c r="R771" s="10"/>
      <c r="S771">
        <f>ROUND(ТабCЕС[[#This Row],[Зелений Тариф ЕЦ]]+ТабCЕС[[#This Row],[Зелений Тариф ЕЦ]]*ТабCЕС[[#This Row],[% надбавки]],4)</f>
        <v>0.15029999999999999</v>
      </c>
      <c r="T771" s="8"/>
    </row>
    <row r="772" spans="3:20">
      <c r="C772" t="s">
        <v>58</v>
      </c>
      <c r="D772" t="s">
        <v>384</v>
      </c>
      <c r="F772" s="1" t="s">
        <v>2244</v>
      </c>
      <c r="H772" t="s">
        <v>101</v>
      </c>
      <c r="K772" t="s">
        <v>2245</v>
      </c>
      <c r="L772" s="7">
        <v>1.2649999999999999</v>
      </c>
      <c r="M772" s="8">
        <v>43813</v>
      </c>
      <c r="N772">
        <v>12</v>
      </c>
      <c r="O772" t="s">
        <v>71</v>
      </c>
      <c r="P772">
        <v>2019</v>
      </c>
      <c r="Q772">
        <v>0.16370000000000001</v>
      </c>
      <c r="R772" s="10"/>
      <c r="S772">
        <f>ROUND(ТабCЕС[[#This Row],[Зелений Тариф ЕЦ]]+ТабCЕС[[#This Row],[Зелений Тариф ЕЦ]]*ТабCЕС[[#This Row],[% надбавки]],4)</f>
        <v>0.16370000000000001</v>
      </c>
      <c r="T772" s="8"/>
    </row>
    <row r="773" spans="3:20">
      <c r="C773" t="s">
        <v>58</v>
      </c>
      <c r="D773" t="s">
        <v>384</v>
      </c>
      <c r="F773" s="1" t="s">
        <v>2246</v>
      </c>
      <c r="H773" t="s">
        <v>98</v>
      </c>
      <c r="K773" t="s">
        <v>2247</v>
      </c>
      <c r="L773" s="7">
        <v>0.248</v>
      </c>
      <c r="M773" s="8">
        <v>43813</v>
      </c>
      <c r="N773">
        <v>12</v>
      </c>
      <c r="O773" t="s">
        <v>71</v>
      </c>
      <c r="P773">
        <v>2019</v>
      </c>
      <c r="Q773">
        <v>0.16370000000000001</v>
      </c>
      <c r="R773" s="10"/>
      <c r="S773">
        <f>ROUND(ТабCЕС[[#This Row],[Зелений Тариф ЕЦ]]+ТабCЕС[[#This Row],[Зелений Тариф ЕЦ]]*ТабCЕС[[#This Row],[% надбавки]],4)</f>
        <v>0.16370000000000001</v>
      </c>
      <c r="T773" s="8"/>
    </row>
    <row r="774" spans="3:20">
      <c r="C774" t="s">
        <v>58</v>
      </c>
      <c r="D774" t="s">
        <v>384</v>
      </c>
      <c r="F774" s="1" t="s">
        <v>2246</v>
      </c>
      <c r="H774" t="s">
        <v>98</v>
      </c>
      <c r="K774" t="s">
        <v>2248</v>
      </c>
      <c r="L774" s="7">
        <v>0.218</v>
      </c>
      <c r="M774" s="8">
        <v>43813</v>
      </c>
      <c r="N774">
        <v>12</v>
      </c>
      <c r="O774" t="s">
        <v>71</v>
      </c>
      <c r="P774">
        <v>2019</v>
      </c>
      <c r="Q774">
        <v>0.16370000000000001</v>
      </c>
      <c r="R774" s="10"/>
      <c r="S774">
        <f>ROUND(ТабCЕС[[#This Row],[Зелений Тариф ЕЦ]]+ТабCЕС[[#This Row],[Зелений Тариф ЕЦ]]*ТабCЕС[[#This Row],[% надбавки]],4)</f>
        <v>0.16370000000000001</v>
      </c>
      <c r="T774" s="8"/>
    </row>
    <row r="775" spans="3:20">
      <c r="C775" t="s">
        <v>58</v>
      </c>
      <c r="D775" t="s">
        <v>384</v>
      </c>
      <c r="F775" s="1" t="s">
        <v>2249</v>
      </c>
      <c r="H775" t="s">
        <v>69</v>
      </c>
      <c r="K775" t="s">
        <v>2250</v>
      </c>
      <c r="L775" s="7">
        <v>9.4909999999999997</v>
      </c>
      <c r="M775" s="8">
        <v>43813</v>
      </c>
      <c r="N775">
        <v>12</v>
      </c>
      <c r="O775" t="s">
        <v>71</v>
      </c>
      <c r="P775">
        <v>2019</v>
      </c>
      <c r="Q775">
        <v>0.15029999999999999</v>
      </c>
      <c r="R775" s="10"/>
      <c r="S775">
        <f>ROUND(ТабCЕС[[#This Row],[Зелений Тариф ЕЦ]]+ТабCЕС[[#This Row],[Зелений Тариф ЕЦ]]*ТабCЕС[[#This Row],[% надбавки]],4)</f>
        <v>0.15029999999999999</v>
      </c>
      <c r="T775" s="8"/>
    </row>
    <row r="776" spans="3:20">
      <c r="C776" t="s">
        <v>58</v>
      </c>
      <c r="D776" t="s">
        <v>384</v>
      </c>
      <c r="F776" s="1" t="s">
        <v>2251</v>
      </c>
      <c r="H776" t="s">
        <v>73</v>
      </c>
      <c r="K776" t="s">
        <v>2252</v>
      </c>
      <c r="L776" s="7">
        <v>5.9349999999999996</v>
      </c>
      <c r="M776" s="8">
        <v>43813</v>
      </c>
      <c r="N776">
        <v>12</v>
      </c>
      <c r="O776" t="s">
        <v>71</v>
      </c>
      <c r="P776">
        <v>2019</v>
      </c>
      <c r="Q776">
        <v>0.15029999999999999</v>
      </c>
      <c r="R776" s="10"/>
      <c r="S776">
        <f>ROUND(ТабCЕС[[#This Row],[Зелений Тариф ЕЦ]]+ТабCЕС[[#This Row],[Зелений Тариф ЕЦ]]*ТабCЕС[[#This Row],[% надбавки]],4)</f>
        <v>0.15029999999999999</v>
      </c>
      <c r="T776" s="8"/>
    </row>
    <row r="777" spans="3:20">
      <c r="C777" t="s">
        <v>58</v>
      </c>
      <c r="D777" t="s">
        <v>384</v>
      </c>
      <c r="F777" s="1" t="s">
        <v>1961</v>
      </c>
      <c r="H777" t="s">
        <v>321</v>
      </c>
      <c r="K777" t="s">
        <v>2253</v>
      </c>
      <c r="L777" s="7">
        <v>0.33300000000000002</v>
      </c>
      <c r="M777" s="8">
        <v>43813</v>
      </c>
      <c r="N777">
        <v>12</v>
      </c>
      <c r="O777" t="s">
        <v>71</v>
      </c>
      <c r="P777">
        <v>2019</v>
      </c>
      <c r="Q777">
        <v>0.16370000000000001</v>
      </c>
      <c r="R777" s="10"/>
      <c r="S777">
        <f>ROUND(ТабCЕС[[#This Row],[Зелений Тариф ЕЦ]]+ТабCЕС[[#This Row],[Зелений Тариф ЕЦ]]*ТабCЕС[[#This Row],[% надбавки]],4)</f>
        <v>0.16370000000000001</v>
      </c>
      <c r="T777" s="8"/>
    </row>
    <row r="778" spans="3:20">
      <c r="C778" t="s">
        <v>58</v>
      </c>
      <c r="D778" t="s">
        <v>384</v>
      </c>
      <c r="F778" s="1" t="s">
        <v>2254</v>
      </c>
      <c r="H778" t="s">
        <v>107</v>
      </c>
      <c r="K778" t="s">
        <v>2255</v>
      </c>
      <c r="L778" s="7">
        <v>0.374</v>
      </c>
      <c r="M778" s="8">
        <v>43813</v>
      </c>
      <c r="N778">
        <v>12</v>
      </c>
      <c r="O778" t="s">
        <v>71</v>
      </c>
      <c r="P778">
        <v>2019</v>
      </c>
      <c r="Q778">
        <v>0.16370000000000001</v>
      </c>
      <c r="R778" s="10"/>
      <c r="S778">
        <f>ROUND(ТабCЕС[[#This Row],[Зелений Тариф ЕЦ]]+ТабCЕС[[#This Row],[Зелений Тариф ЕЦ]]*ТабCЕС[[#This Row],[% надбавки]],4)</f>
        <v>0.16370000000000001</v>
      </c>
      <c r="T778" s="8"/>
    </row>
    <row r="779" spans="3:20">
      <c r="C779" t="s">
        <v>58</v>
      </c>
      <c r="D779" t="s">
        <v>384</v>
      </c>
      <c r="F779" s="1" t="s">
        <v>2256</v>
      </c>
      <c r="H779" t="s">
        <v>107</v>
      </c>
      <c r="K779" t="s">
        <v>2257</v>
      </c>
      <c r="L779" s="7">
        <v>22.981000000000002</v>
      </c>
      <c r="M779" s="8">
        <v>43816</v>
      </c>
      <c r="N779">
        <v>12</v>
      </c>
      <c r="O779" t="s">
        <v>71</v>
      </c>
      <c r="P779">
        <v>2019</v>
      </c>
      <c r="Q779">
        <v>0.15029999999999999</v>
      </c>
      <c r="R779" s="10"/>
      <c r="S779">
        <f>ROUND(ТабCЕС[[#This Row],[Зелений Тариф ЕЦ]]+ТабCЕС[[#This Row],[Зелений Тариф ЕЦ]]*ТабCЕС[[#This Row],[% надбавки]],4)</f>
        <v>0.15029999999999999</v>
      </c>
      <c r="T779" s="8"/>
    </row>
    <row r="780" spans="3:20">
      <c r="C780" t="s">
        <v>58</v>
      </c>
      <c r="D780" t="s">
        <v>384</v>
      </c>
      <c r="F780" s="1" t="s">
        <v>2258</v>
      </c>
      <c r="H780" t="s">
        <v>107</v>
      </c>
      <c r="K780" t="s">
        <v>2259</v>
      </c>
      <c r="L780" s="7">
        <v>23.036999999999999</v>
      </c>
      <c r="M780" s="8">
        <v>43816</v>
      </c>
      <c r="N780">
        <v>12</v>
      </c>
      <c r="O780" t="s">
        <v>71</v>
      </c>
      <c r="P780">
        <v>2019</v>
      </c>
      <c r="Q780">
        <v>0.15029999999999999</v>
      </c>
      <c r="R780" s="10"/>
      <c r="S780">
        <f>ROUND(ТабCЕС[[#This Row],[Зелений Тариф ЕЦ]]+ТабCЕС[[#This Row],[Зелений Тариф ЕЦ]]*ТабCЕС[[#This Row],[% надбавки]],4)</f>
        <v>0.15029999999999999</v>
      </c>
      <c r="T780" s="8"/>
    </row>
    <row r="781" spans="3:20">
      <c r="C781" t="s">
        <v>58</v>
      </c>
      <c r="D781" t="s">
        <v>384</v>
      </c>
      <c r="F781" s="1" t="s">
        <v>2256</v>
      </c>
      <c r="H781" t="s">
        <v>107</v>
      </c>
      <c r="K781" t="s">
        <v>2260</v>
      </c>
      <c r="L781" s="7">
        <v>22.981000000000002</v>
      </c>
      <c r="M781" s="8">
        <v>43816</v>
      </c>
      <c r="N781">
        <v>12</v>
      </c>
      <c r="O781" t="s">
        <v>71</v>
      </c>
      <c r="P781">
        <v>2019</v>
      </c>
      <c r="Q781">
        <v>0.15029999999999999</v>
      </c>
      <c r="R781" s="10"/>
      <c r="S781">
        <f>ROUND(ТабCЕС[[#This Row],[Зелений Тариф ЕЦ]]+ТабCЕС[[#This Row],[Зелений Тариф ЕЦ]]*ТабCЕС[[#This Row],[% надбавки]],4)</f>
        <v>0.15029999999999999</v>
      </c>
      <c r="T781" s="8"/>
    </row>
    <row r="782" spans="3:20">
      <c r="C782" t="s">
        <v>58</v>
      </c>
      <c r="D782" t="s">
        <v>384</v>
      </c>
      <c r="F782" s="1" t="s">
        <v>2261</v>
      </c>
      <c r="H782" t="s">
        <v>136</v>
      </c>
      <c r="K782" t="s">
        <v>2262</v>
      </c>
      <c r="L782" s="7">
        <v>4.7190000000000003</v>
      </c>
      <c r="M782" s="8">
        <v>43816</v>
      </c>
      <c r="N782">
        <v>12</v>
      </c>
      <c r="O782" t="s">
        <v>71</v>
      </c>
      <c r="P782">
        <v>2019</v>
      </c>
      <c r="Q782">
        <v>0.15029999999999999</v>
      </c>
      <c r="R782" s="10"/>
      <c r="S782">
        <f>ROUND(ТабCЕС[[#This Row],[Зелений Тариф ЕЦ]]+ТабCЕС[[#This Row],[Зелений Тариф ЕЦ]]*ТабCЕС[[#This Row],[% надбавки]],4)</f>
        <v>0.15029999999999999</v>
      </c>
      <c r="T782" s="8"/>
    </row>
    <row r="783" spans="3:20">
      <c r="C783" t="s">
        <v>58</v>
      </c>
      <c r="D783" t="s">
        <v>384</v>
      </c>
      <c r="F783" s="1" t="s">
        <v>2263</v>
      </c>
      <c r="H783" t="s">
        <v>1658</v>
      </c>
      <c r="K783" t="s">
        <v>2264</v>
      </c>
      <c r="L783" s="7">
        <v>3.5960000000000001</v>
      </c>
      <c r="M783" s="8">
        <v>43816</v>
      </c>
      <c r="N783">
        <v>12</v>
      </c>
      <c r="O783" t="s">
        <v>71</v>
      </c>
      <c r="P783">
        <v>2019</v>
      </c>
      <c r="Q783">
        <v>0.15029999999999999</v>
      </c>
      <c r="R783" s="10"/>
      <c r="S783">
        <f>ROUND(ТабCЕС[[#This Row],[Зелений Тариф ЕЦ]]+ТабCЕС[[#This Row],[Зелений Тариф ЕЦ]]*ТабCЕС[[#This Row],[% надбавки]],4)</f>
        <v>0.15029999999999999</v>
      </c>
      <c r="T783" s="8"/>
    </row>
    <row r="784" spans="3:20">
      <c r="C784" t="s">
        <v>58</v>
      </c>
      <c r="D784" t="s">
        <v>384</v>
      </c>
      <c r="F784" s="1" t="s">
        <v>2265</v>
      </c>
      <c r="H784" t="s">
        <v>185</v>
      </c>
      <c r="K784" t="s">
        <v>2266</v>
      </c>
      <c r="L784" s="7">
        <v>0.29699999999999999</v>
      </c>
      <c r="M784" s="8">
        <v>43816</v>
      </c>
      <c r="N784">
        <v>12</v>
      </c>
      <c r="O784" t="s">
        <v>71</v>
      </c>
      <c r="P784">
        <v>2019</v>
      </c>
      <c r="Q784">
        <v>0.15029999999999999</v>
      </c>
      <c r="R784" s="10"/>
      <c r="S784">
        <f>ROUND(ТабCЕС[[#This Row],[Зелений Тариф ЕЦ]]+ТабCЕС[[#This Row],[Зелений Тариф ЕЦ]]*ТабCЕС[[#This Row],[% надбавки]],4)</f>
        <v>0.15029999999999999</v>
      </c>
      <c r="T784" s="8"/>
    </row>
    <row r="785" spans="3:20">
      <c r="C785" t="s">
        <v>58</v>
      </c>
      <c r="D785" t="s">
        <v>384</v>
      </c>
      <c r="F785" s="1" t="s">
        <v>2267</v>
      </c>
      <c r="H785" t="s">
        <v>233</v>
      </c>
      <c r="K785" t="s">
        <v>2268</v>
      </c>
      <c r="L785" s="7">
        <v>4.4550000000000001</v>
      </c>
      <c r="M785" s="8">
        <v>43816</v>
      </c>
      <c r="N785">
        <v>12</v>
      </c>
      <c r="O785" t="s">
        <v>71</v>
      </c>
      <c r="P785">
        <v>2019</v>
      </c>
      <c r="Q785">
        <v>0.15029999999999999</v>
      </c>
      <c r="R785" s="10"/>
      <c r="S785">
        <f>ROUND(ТабCЕС[[#This Row],[Зелений Тариф ЕЦ]]+ТабCЕС[[#This Row],[Зелений Тариф ЕЦ]]*ТабCЕС[[#This Row],[% надбавки]],4)</f>
        <v>0.15029999999999999</v>
      </c>
      <c r="T785" s="8"/>
    </row>
    <row r="786" spans="3:20">
      <c r="C786" t="s">
        <v>58</v>
      </c>
      <c r="D786" t="s">
        <v>384</v>
      </c>
      <c r="F786" s="1" t="s">
        <v>2269</v>
      </c>
      <c r="H786" t="s">
        <v>107</v>
      </c>
      <c r="K786" t="s">
        <v>2270</v>
      </c>
      <c r="L786" s="7">
        <v>8.9510000000000005</v>
      </c>
      <c r="M786" s="8">
        <v>43816</v>
      </c>
      <c r="N786">
        <v>12</v>
      </c>
      <c r="O786" t="s">
        <v>71</v>
      </c>
      <c r="P786">
        <v>2019</v>
      </c>
      <c r="Q786">
        <v>0.15029999999999999</v>
      </c>
      <c r="R786" s="10"/>
      <c r="S786">
        <f>ROUND(ТабCЕС[[#This Row],[Зелений Тариф ЕЦ]]+ТабCЕС[[#This Row],[Зелений Тариф ЕЦ]]*ТабCЕС[[#This Row],[% надбавки]],4)</f>
        <v>0.15029999999999999</v>
      </c>
      <c r="T786" s="8"/>
    </row>
    <row r="787" spans="3:20">
      <c r="C787" t="s">
        <v>58</v>
      </c>
      <c r="D787" t="s">
        <v>384</v>
      </c>
      <c r="F787" s="1" t="s">
        <v>2271</v>
      </c>
      <c r="H787" t="s">
        <v>172</v>
      </c>
      <c r="K787" t="s">
        <v>2272</v>
      </c>
      <c r="L787" s="7">
        <v>0.46300000000000002</v>
      </c>
      <c r="M787" s="8">
        <v>43816</v>
      </c>
      <c r="N787">
        <v>12</v>
      </c>
      <c r="O787" t="s">
        <v>71</v>
      </c>
      <c r="P787">
        <v>2019</v>
      </c>
      <c r="Q787">
        <v>0.16370000000000001</v>
      </c>
      <c r="R787" s="10"/>
      <c r="S787">
        <f>ROUND(ТабCЕС[[#This Row],[Зелений Тариф ЕЦ]]+ТабCЕС[[#This Row],[Зелений Тариф ЕЦ]]*ТабCЕС[[#This Row],[% надбавки]],4)</f>
        <v>0.16370000000000001</v>
      </c>
      <c r="T787" s="8"/>
    </row>
    <row r="788" spans="3:20">
      <c r="C788" t="s">
        <v>58</v>
      </c>
      <c r="D788" t="s">
        <v>384</v>
      </c>
      <c r="F788" s="1" t="s">
        <v>2273</v>
      </c>
      <c r="H788" t="s">
        <v>62</v>
      </c>
      <c r="K788" t="s">
        <v>2274</v>
      </c>
      <c r="L788" s="7">
        <v>0.1</v>
      </c>
      <c r="M788" s="8">
        <v>43816</v>
      </c>
      <c r="N788">
        <v>12</v>
      </c>
      <c r="O788" t="s">
        <v>71</v>
      </c>
      <c r="P788">
        <v>2019</v>
      </c>
      <c r="Q788">
        <v>0.15029999999999999</v>
      </c>
      <c r="R788" s="10"/>
      <c r="S788">
        <f>ROUND(ТабCЕС[[#This Row],[Зелений Тариф ЕЦ]]+ТабCЕС[[#This Row],[Зелений Тариф ЕЦ]]*ТабCЕС[[#This Row],[% надбавки]],4)</f>
        <v>0.15029999999999999</v>
      </c>
      <c r="T788" s="8"/>
    </row>
    <row r="789" spans="3:20">
      <c r="C789" t="s">
        <v>58</v>
      </c>
      <c r="D789" t="s">
        <v>384</v>
      </c>
      <c r="F789" s="1" t="s">
        <v>2275</v>
      </c>
      <c r="H789" t="s">
        <v>73</v>
      </c>
      <c r="K789" t="s">
        <v>2276</v>
      </c>
      <c r="L789" s="7">
        <v>0.185</v>
      </c>
      <c r="M789" s="8">
        <v>43816</v>
      </c>
      <c r="N789">
        <v>12</v>
      </c>
      <c r="O789" t="s">
        <v>71</v>
      </c>
      <c r="P789">
        <v>2019</v>
      </c>
      <c r="Q789">
        <v>0.16370000000000001</v>
      </c>
      <c r="R789" s="10"/>
      <c r="S789">
        <f>ROUND(ТабCЕС[[#This Row],[Зелений Тариф ЕЦ]]+ТабCЕС[[#This Row],[Зелений Тариф ЕЦ]]*ТабCЕС[[#This Row],[% надбавки]],4)</f>
        <v>0.16370000000000001</v>
      </c>
      <c r="T789" s="8"/>
    </row>
    <row r="790" spans="3:20">
      <c r="C790" t="s">
        <v>58</v>
      </c>
      <c r="D790" t="s">
        <v>384</v>
      </c>
      <c r="F790" s="1" t="s">
        <v>2277</v>
      </c>
      <c r="H790" t="s">
        <v>98</v>
      </c>
      <c r="K790" t="s">
        <v>2278</v>
      </c>
      <c r="L790" s="7">
        <v>1.403</v>
      </c>
      <c r="M790" s="8">
        <v>43816</v>
      </c>
      <c r="N790">
        <v>12</v>
      </c>
      <c r="O790" t="s">
        <v>71</v>
      </c>
      <c r="P790">
        <v>2019</v>
      </c>
      <c r="Q790">
        <v>0.16370000000000001</v>
      </c>
      <c r="R790" s="10"/>
      <c r="S790">
        <f>ROUND(ТабCЕС[[#This Row],[Зелений Тариф ЕЦ]]+ТабCЕС[[#This Row],[Зелений Тариф ЕЦ]]*ТабCЕС[[#This Row],[% надбавки]],4)</f>
        <v>0.16370000000000001</v>
      </c>
      <c r="T790" s="8"/>
    </row>
    <row r="791" spans="3:20">
      <c r="C791" t="s">
        <v>58</v>
      </c>
      <c r="D791" t="s">
        <v>384</v>
      </c>
      <c r="F791" s="1" t="s">
        <v>2279</v>
      </c>
      <c r="H791" t="s">
        <v>198</v>
      </c>
      <c r="K791" t="s">
        <v>2280</v>
      </c>
      <c r="L791" s="7">
        <v>20.013999999999999</v>
      </c>
      <c r="M791" s="8">
        <v>43819</v>
      </c>
      <c r="N791">
        <v>12</v>
      </c>
      <c r="O791" t="s">
        <v>71</v>
      </c>
      <c r="P791">
        <v>2019</v>
      </c>
      <c r="Q791">
        <v>0.15029999999999999</v>
      </c>
      <c r="R791" s="10"/>
      <c r="S791">
        <f>ROUND(ТабCЕС[[#This Row],[Зелений Тариф ЕЦ]]+ТабCЕС[[#This Row],[Зелений Тариф ЕЦ]]*ТабCЕС[[#This Row],[% надбавки]],4)</f>
        <v>0.15029999999999999</v>
      </c>
      <c r="T791" s="8"/>
    </row>
    <row r="792" spans="3:20">
      <c r="C792" t="s">
        <v>58</v>
      </c>
      <c r="D792" t="s">
        <v>384</v>
      </c>
      <c r="F792" s="1" t="s">
        <v>2281</v>
      </c>
      <c r="H792" t="s">
        <v>198</v>
      </c>
      <c r="K792" t="s">
        <v>2282</v>
      </c>
      <c r="L792" s="7">
        <v>19.515000000000001</v>
      </c>
      <c r="M792" s="8">
        <v>43819</v>
      </c>
      <c r="N792">
        <v>12</v>
      </c>
      <c r="O792" t="s">
        <v>71</v>
      </c>
      <c r="P792">
        <v>2019</v>
      </c>
      <c r="Q792">
        <v>0.15029999999999999</v>
      </c>
      <c r="R792" s="10"/>
      <c r="S792">
        <f>ROUND(ТабCЕС[[#This Row],[Зелений Тариф ЕЦ]]+ТабCЕС[[#This Row],[Зелений Тариф ЕЦ]]*ТабCЕС[[#This Row],[% надбавки]],4)</f>
        <v>0.15029999999999999</v>
      </c>
      <c r="T792" s="8"/>
    </row>
    <row r="793" spans="3:20">
      <c r="C793" t="s">
        <v>58</v>
      </c>
      <c r="D793" t="s">
        <v>384</v>
      </c>
      <c r="F793" s="1" t="s">
        <v>2283</v>
      </c>
      <c r="H793" t="s">
        <v>198</v>
      </c>
      <c r="K793" t="s">
        <v>2284</v>
      </c>
      <c r="L793" s="7">
        <v>20.036999999999999</v>
      </c>
      <c r="M793" s="8">
        <v>43819</v>
      </c>
      <c r="N793">
        <v>12</v>
      </c>
      <c r="O793" t="s">
        <v>71</v>
      </c>
      <c r="P793">
        <v>2019</v>
      </c>
      <c r="Q793">
        <v>0.15029999999999999</v>
      </c>
      <c r="R793" s="10"/>
      <c r="S793">
        <f>ROUND(ТабCЕС[[#This Row],[Зелений Тариф ЕЦ]]+ТабCЕС[[#This Row],[Зелений Тариф ЕЦ]]*ТабCЕС[[#This Row],[% надбавки]],4)</f>
        <v>0.15029999999999999</v>
      </c>
      <c r="T793" s="8"/>
    </row>
    <row r="794" spans="3:20">
      <c r="C794" t="s">
        <v>58</v>
      </c>
      <c r="D794" t="s">
        <v>384</v>
      </c>
      <c r="F794" s="1" t="s">
        <v>2285</v>
      </c>
      <c r="H794" t="s">
        <v>163</v>
      </c>
      <c r="K794" t="s">
        <v>2286</v>
      </c>
      <c r="L794" s="7">
        <v>2.246</v>
      </c>
      <c r="M794" s="8">
        <v>43819</v>
      </c>
      <c r="N794">
        <v>12</v>
      </c>
      <c r="O794" t="s">
        <v>71</v>
      </c>
      <c r="P794">
        <v>2019</v>
      </c>
      <c r="Q794">
        <v>0.15029999999999999</v>
      </c>
      <c r="R794" s="10"/>
      <c r="S794">
        <f>ROUND(ТабCЕС[[#This Row],[Зелений Тариф ЕЦ]]+ТабCЕС[[#This Row],[Зелений Тариф ЕЦ]]*ТабCЕС[[#This Row],[% надбавки]],4)</f>
        <v>0.15029999999999999</v>
      </c>
      <c r="T794" s="8"/>
    </row>
    <row r="795" spans="3:20">
      <c r="C795" t="s">
        <v>58</v>
      </c>
      <c r="D795" t="s">
        <v>384</v>
      </c>
      <c r="F795" s="1" t="s">
        <v>2287</v>
      </c>
      <c r="H795" t="s">
        <v>122</v>
      </c>
      <c r="K795" t="s">
        <v>2288</v>
      </c>
      <c r="L795" s="7">
        <v>1.98</v>
      </c>
      <c r="M795" s="8">
        <v>43819</v>
      </c>
      <c r="N795">
        <v>12</v>
      </c>
      <c r="O795" t="s">
        <v>71</v>
      </c>
      <c r="P795">
        <v>2019</v>
      </c>
      <c r="Q795">
        <v>0.15029999999999999</v>
      </c>
      <c r="R795" s="10"/>
      <c r="S795">
        <f>ROUND(ТабCЕС[[#This Row],[Зелений Тариф ЕЦ]]+ТабCЕС[[#This Row],[Зелений Тариф ЕЦ]]*ТабCЕС[[#This Row],[% надбавки]],4)</f>
        <v>0.15029999999999999</v>
      </c>
      <c r="T795" s="8"/>
    </row>
    <row r="796" spans="3:20">
      <c r="C796" t="s">
        <v>58</v>
      </c>
      <c r="D796" t="s">
        <v>384</v>
      </c>
      <c r="F796" s="1" t="s">
        <v>2289</v>
      </c>
      <c r="H796" t="s">
        <v>122</v>
      </c>
      <c r="K796" t="s">
        <v>2290</v>
      </c>
      <c r="L796" s="7">
        <v>6.968</v>
      </c>
      <c r="M796" s="8">
        <v>43819</v>
      </c>
      <c r="N796">
        <v>12</v>
      </c>
      <c r="O796" t="s">
        <v>71</v>
      </c>
      <c r="P796">
        <v>2019</v>
      </c>
      <c r="Q796">
        <v>0.15029999999999999</v>
      </c>
      <c r="R796" s="10"/>
      <c r="S796">
        <f>ROUND(ТабCЕС[[#This Row],[Зелений Тариф ЕЦ]]+ТабCЕС[[#This Row],[Зелений Тариф ЕЦ]]*ТабCЕС[[#This Row],[% надбавки]],4)</f>
        <v>0.15029999999999999</v>
      </c>
      <c r="T796" s="8"/>
    </row>
    <row r="797" spans="3:20">
      <c r="C797" t="s">
        <v>58</v>
      </c>
      <c r="D797" t="s">
        <v>384</v>
      </c>
      <c r="F797" s="1" t="s">
        <v>2291</v>
      </c>
      <c r="H797" t="s">
        <v>101</v>
      </c>
      <c r="K797" t="s">
        <v>2292</v>
      </c>
      <c r="L797" s="7">
        <v>1.2130000000000001</v>
      </c>
      <c r="M797" s="8">
        <v>43819</v>
      </c>
      <c r="N797">
        <v>12</v>
      </c>
      <c r="O797" t="s">
        <v>71</v>
      </c>
      <c r="P797">
        <v>2019</v>
      </c>
      <c r="Q797">
        <v>0.15029999999999999</v>
      </c>
      <c r="R797" s="10"/>
      <c r="S797">
        <f>ROUND(ТабCЕС[[#This Row],[Зелений Тариф ЕЦ]]+ТабCЕС[[#This Row],[Зелений Тариф ЕЦ]]*ТабCЕС[[#This Row],[% надбавки]],4)</f>
        <v>0.15029999999999999</v>
      </c>
      <c r="T797" s="8"/>
    </row>
    <row r="798" spans="3:20">
      <c r="C798" t="s">
        <v>58</v>
      </c>
      <c r="D798" t="s">
        <v>384</v>
      </c>
      <c r="F798" s="1" t="s">
        <v>2293</v>
      </c>
      <c r="H798" t="s">
        <v>82</v>
      </c>
      <c r="K798" t="s">
        <v>2294</v>
      </c>
      <c r="L798" s="7">
        <v>1.149</v>
      </c>
      <c r="M798" s="8">
        <v>43819</v>
      </c>
      <c r="N798">
        <v>12</v>
      </c>
      <c r="O798" t="s">
        <v>71</v>
      </c>
      <c r="P798">
        <v>2019</v>
      </c>
      <c r="Q798">
        <v>0.15029999999999999</v>
      </c>
      <c r="R798" s="10"/>
      <c r="S798">
        <f>ROUND(ТабCЕС[[#This Row],[Зелений Тариф ЕЦ]]+ТабCЕС[[#This Row],[Зелений Тариф ЕЦ]]*ТабCЕС[[#This Row],[% надбавки]],4)</f>
        <v>0.15029999999999999</v>
      </c>
      <c r="T798" s="8"/>
    </row>
    <row r="799" spans="3:20">
      <c r="C799" t="s">
        <v>58</v>
      </c>
      <c r="D799" t="s">
        <v>384</v>
      </c>
      <c r="F799" s="1" t="s">
        <v>2295</v>
      </c>
      <c r="H799" t="s">
        <v>82</v>
      </c>
      <c r="K799" t="s">
        <v>2296</v>
      </c>
      <c r="L799" s="7">
        <v>1.121</v>
      </c>
      <c r="M799" s="8">
        <v>43819</v>
      </c>
      <c r="N799">
        <v>12</v>
      </c>
      <c r="O799" t="s">
        <v>71</v>
      </c>
      <c r="P799">
        <v>2019</v>
      </c>
      <c r="Q799">
        <v>0.15029999999999999</v>
      </c>
      <c r="R799" s="10"/>
      <c r="S799">
        <f>ROUND(ТабCЕС[[#This Row],[Зелений Тариф ЕЦ]]+ТабCЕС[[#This Row],[Зелений Тариф ЕЦ]]*ТабCЕС[[#This Row],[% надбавки]],4)</f>
        <v>0.15029999999999999</v>
      </c>
      <c r="T799" s="8"/>
    </row>
    <row r="800" spans="3:20">
      <c r="C800" t="s">
        <v>58</v>
      </c>
      <c r="D800" t="s">
        <v>384</v>
      </c>
      <c r="F800" s="1" t="s">
        <v>2297</v>
      </c>
      <c r="H800" t="s">
        <v>198</v>
      </c>
      <c r="K800" t="s">
        <v>2298</v>
      </c>
      <c r="L800" s="7">
        <v>4.71</v>
      </c>
      <c r="M800" s="8">
        <v>43819</v>
      </c>
      <c r="N800">
        <v>12</v>
      </c>
      <c r="O800" t="s">
        <v>71</v>
      </c>
      <c r="P800">
        <v>2019</v>
      </c>
      <c r="Q800">
        <v>0.15029999999999999</v>
      </c>
      <c r="R800" s="10"/>
      <c r="S800">
        <f>ROUND(ТабCЕС[[#This Row],[Зелений Тариф ЕЦ]]+ТабCЕС[[#This Row],[Зелений Тариф ЕЦ]]*ТабCЕС[[#This Row],[% надбавки]],4)</f>
        <v>0.15029999999999999</v>
      </c>
      <c r="T800" s="8"/>
    </row>
    <row r="801" spans="3:20">
      <c r="C801" t="s">
        <v>58</v>
      </c>
      <c r="D801" t="s">
        <v>384</v>
      </c>
      <c r="F801" s="1" t="s">
        <v>2299</v>
      </c>
      <c r="H801" t="s">
        <v>73</v>
      </c>
      <c r="K801" t="s">
        <v>2300</v>
      </c>
      <c r="L801" s="7">
        <v>4.9859999999999998</v>
      </c>
      <c r="M801" s="8">
        <v>43819</v>
      </c>
      <c r="N801">
        <v>12</v>
      </c>
      <c r="O801" t="s">
        <v>71</v>
      </c>
      <c r="P801">
        <v>2019</v>
      </c>
      <c r="Q801">
        <v>0.15029999999999999</v>
      </c>
      <c r="R801" s="10"/>
      <c r="S801">
        <f>ROUND(ТабCЕС[[#This Row],[Зелений Тариф ЕЦ]]+ТабCЕС[[#This Row],[Зелений Тариф ЕЦ]]*ТабCЕС[[#This Row],[% надбавки]],4)</f>
        <v>0.15029999999999999</v>
      </c>
      <c r="T801" s="8"/>
    </row>
    <row r="802" spans="3:20">
      <c r="C802" t="s">
        <v>58</v>
      </c>
      <c r="D802" t="s">
        <v>384</v>
      </c>
      <c r="F802" s="1" t="s">
        <v>2301</v>
      </c>
      <c r="H802" t="s">
        <v>65</v>
      </c>
      <c r="K802" t="s">
        <v>2302</v>
      </c>
      <c r="L802" s="7">
        <v>9.9990000000000006</v>
      </c>
      <c r="M802" s="8">
        <v>43819</v>
      </c>
      <c r="N802">
        <v>12</v>
      </c>
      <c r="O802" t="s">
        <v>71</v>
      </c>
      <c r="P802">
        <v>2019</v>
      </c>
      <c r="Q802">
        <v>0.15029999999999999</v>
      </c>
      <c r="R802" s="10"/>
      <c r="S802">
        <f>ROUND(ТабCЕС[[#This Row],[Зелений Тариф ЕЦ]]+ТабCЕС[[#This Row],[Зелений Тариф ЕЦ]]*ТабCЕС[[#This Row],[% надбавки]],4)</f>
        <v>0.15029999999999999</v>
      </c>
      <c r="T802" s="8"/>
    </row>
    <row r="803" spans="3:20">
      <c r="C803" t="s">
        <v>58</v>
      </c>
      <c r="D803" t="s">
        <v>384</v>
      </c>
      <c r="F803" s="1" t="s">
        <v>2303</v>
      </c>
      <c r="H803" t="s">
        <v>122</v>
      </c>
      <c r="K803" t="s">
        <v>2304</v>
      </c>
      <c r="L803" s="7">
        <v>2.1240000000000001</v>
      </c>
      <c r="M803" s="8">
        <v>43819</v>
      </c>
      <c r="N803">
        <v>12</v>
      </c>
      <c r="O803" t="s">
        <v>71</v>
      </c>
      <c r="P803">
        <v>2019</v>
      </c>
      <c r="Q803">
        <v>0.15029999999999999</v>
      </c>
      <c r="R803" s="10"/>
      <c r="S803">
        <f>ROUND(ТабCЕС[[#This Row],[Зелений Тариф ЕЦ]]+ТабCЕС[[#This Row],[Зелений Тариф ЕЦ]]*ТабCЕС[[#This Row],[% надбавки]],4)</f>
        <v>0.15029999999999999</v>
      </c>
      <c r="T803" s="8"/>
    </row>
    <row r="804" spans="3:20">
      <c r="C804" t="s">
        <v>58</v>
      </c>
      <c r="D804" t="s">
        <v>384</v>
      </c>
      <c r="F804" s="1" t="s">
        <v>2305</v>
      </c>
      <c r="H804" t="s">
        <v>69</v>
      </c>
      <c r="K804" t="s">
        <v>2306</v>
      </c>
      <c r="L804" s="7">
        <v>5.4450000000000003</v>
      </c>
      <c r="M804" s="8">
        <v>43819</v>
      </c>
      <c r="N804">
        <v>12</v>
      </c>
      <c r="O804" t="s">
        <v>71</v>
      </c>
      <c r="P804">
        <v>2019</v>
      </c>
      <c r="Q804">
        <v>0.15029999999999999</v>
      </c>
      <c r="R804" s="10"/>
      <c r="S804">
        <f>ROUND(ТабCЕС[[#This Row],[Зелений Тариф ЕЦ]]+ТабCЕС[[#This Row],[Зелений Тариф ЕЦ]]*ТабCЕС[[#This Row],[% надбавки]],4)</f>
        <v>0.15029999999999999</v>
      </c>
      <c r="T804" s="8"/>
    </row>
    <row r="805" spans="3:20">
      <c r="C805" t="s">
        <v>58</v>
      </c>
      <c r="D805" t="s">
        <v>384</v>
      </c>
      <c r="F805" s="1" t="s">
        <v>2307</v>
      </c>
      <c r="H805" t="s">
        <v>98</v>
      </c>
      <c r="K805" t="s">
        <v>2308</v>
      </c>
      <c r="L805" s="7">
        <v>0.748</v>
      </c>
      <c r="M805" s="8">
        <v>43819</v>
      </c>
      <c r="N805">
        <v>12</v>
      </c>
      <c r="O805" t="s">
        <v>71</v>
      </c>
      <c r="P805">
        <v>2019</v>
      </c>
      <c r="Q805">
        <v>0.16370000000000001</v>
      </c>
      <c r="R805" s="10"/>
      <c r="S805">
        <f>ROUND(ТабCЕС[[#This Row],[Зелений Тариф ЕЦ]]+ТабCЕС[[#This Row],[Зелений Тариф ЕЦ]]*ТабCЕС[[#This Row],[% надбавки]],4)</f>
        <v>0.16370000000000001</v>
      </c>
      <c r="T805" s="8"/>
    </row>
    <row r="806" spans="3:20">
      <c r="C806" t="s">
        <v>58</v>
      </c>
      <c r="D806" t="s">
        <v>384</v>
      </c>
      <c r="F806" s="1" t="s">
        <v>2309</v>
      </c>
      <c r="H806" t="s">
        <v>163</v>
      </c>
      <c r="K806" t="s">
        <v>2310</v>
      </c>
      <c r="L806" s="7">
        <v>0.43099999999999999</v>
      </c>
      <c r="M806" s="8">
        <v>43819</v>
      </c>
      <c r="N806">
        <v>12</v>
      </c>
      <c r="O806" t="s">
        <v>71</v>
      </c>
      <c r="P806">
        <v>2019</v>
      </c>
      <c r="Q806">
        <v>0.16370000000000001</v>
      </c>
      <c r="R806" s="10"/>
      <c r="S806">
        <f>ROUND(ТабCЕС[[#This Row],[Зелений Тариф ЕЦ]]+ТабCЕС[[#This Row],[Зелений Тариф ЕЦ]]*ТабCЕС[[#This Row],[% надбавки]],4)</f>
        <v>0.16370000000000001</v>
      </c>
      <c r="T806" s="8"/>
    </row>
    <row r="807" spans="3:20">
      <c r="C807" t="s">
        <v>58</v>
      </c>
      <c r="D807" t="s">
        <v>384</v>
      </c>
      <c r="F807" s="1" t="s">
        <v>2309</v>
      </c>
      <c r="H807" t="s">
        <v>163</v>
      </c>
      <c r="K807" t="s">
        <v>2311</v>
      </c>
      <c r="L807" s="7">
        <v>0.54100000000000004</v>
      </c>
      <c r="M807" s="8">
        <v>43819</v>
      </c>
      <c r="N807">
        <v>12</v>
      </c>
      <c r="O807" t="s">
        <v>71</v>
      </c>
      <c r="P807">
        <v>2019</v>
      </c>
      <c r="Q807">
        <v>0.16370000000000001</v>
      </c>
      <c r="R807" s="10"/>
      <c r="S807">
        <f>ROUND(ТабCЕС[[#This Row],[Зелений Тариф ЕЦ]]+ТабCЕС[[#This Row],[Зелений Тариф ЕЦ]]*ТабCЕС[[#This Row],[% надбавки]],4)</f>
        <v>0.16370000000000001</v>
      </c>
      <c r="T807" s="8"/>
    </row>
    <row r="808" spans="3:20">
      <c r="C808" t="s">
        <v>58</v>
      </c>
      <c r="D808" t="s">
        <v>384</v>
      </c>
      <c r="F808" s="1" t="s">
        <v>2312</v>
      </c>
      <c r="H808" t="s">
        <v>233</v>
      </c>
      <c r="K808" t="s">
        <v>2313</v>
      </c>
      <c r="L808" s="7">
        <v>0.434</v>
      </c>
      <c r="M808" s="8">
        <v>43819</v>
      </c>
      <c r="N808">
        <v>12</v>
      </c>
      <c r="O808" t="s">
        <v>71</v>
      </c>
      <c r="P808">
        <v>2019</v>
      </c>
      <c r="Q808">
        <v>0.16370000000000001</v>
      </c>
      <c r="R808" s="10"/>
      <c r="S808">
        <f>ROUND(ТабCЕС[[#This Row],[Зелений Тариф ЕЦ]]+ТабCЕС[[#This Row],[Зелений Тариф ЕЦ]]*ТабCЕС[[#This Row],[% надбавки]],4)</f>
        <v>0.16370000000000001</v>
      </c>
      <c r="T808" s="8"/>
    </row>
    <row r="809" spans="3:20">
      <c r="C809" t="s">
        <v>58</v>
      </c>
      <c r="D809" t="s">
        <v>384</v>
      </c>
      <c r="F809" s="1" t="s">
        <v>2314</v>
      </c>
      <c r="H809" t="s">
        <v>198</v>
      </c>
      <c r="K809" t="s">
        <v>2315</v>
      </c>
      <c r="L809" s="7">
        <v>0.52200000000000002</v>
      </c>
      <c r="M809" s="8">
        <v>43819</v>
      </c>
      <c r="N809">
        <v>12</v>
      </c>
      <c r="O809" t="s">
        <v>71</v>
      </c>
      <c r="P809">
        <v>2019</v>
      </c>
      <c r="Q809">
        <v>0.16370000000000001</v>
      </c>
      <c r="R809" s="10"/>
      <c r="S809">
        <f>ROUND(ТабCЕС[[#This Row],[Зелений Тариф ЕЦ]]+ТабCЕС[[#This Row],[Зелений Тариф ЕЦ]]*ТабCЕС[[#This Row],[% надбавки]],4)</f>
        <v>0.16370000000000001</v>
      </c>
      <c r="T809" s="8"/>
    </row>
    <row r="810" spans="3:20">
      <c r="C810" t="s">
        <v>58</v>
      </c>
      <c r="D810" t="s">
        <v>384</v>
      </c>
      <c r="F810" s="1" t="s">
        <v>2316</v>
      </c>
      <c r="H810" t="s">
        <v>198</v>
      </c>
      <c r="K810" t="s">
        <v>2317</v>
      </c>
      <c r="L810" s="7">
        <v>4.0659999999999998</v>
      </c>
      <c r="M810" s="8">
        <v>43819</v>
      </c>
      <c r="N810">
        <v>12</v>
      </c>
      <c r="O810" t="s">
        <v>71</v>
      </c>
      <c r="P810">
        <v>2019</v>
      </c>
      <c r="Q810">
        <v>0.15029999999999999</v>
      </c>
      <c r="R810" s="10"/>
      <c r="S810">
        <f>ROUND(ТабCЕС[[#This Row],[Зелений Тариф ЕЦ]]+ТабCЕС[[#This Row],[Зелений Тариф ЕЦ]]*ТабCЕС[[#This Row],[% надбавки]],4)</f>
        <v>0.15029999999999999</v>
      </c>
      <c r="T810" s="8"/>
    </row>
    <row r="811" spans="3:20">
      <c r="C811" t="s">
        <v>58</v>
      </c>
      <c r="D811" t="s">
        <v>384</v>
      </c>
      <c r="F811" s="1" t="s">
        <v>2318</v>
      </c>
      <c r="H811" t="s">
        <v>172</v>
      </c>
      <c r="K811" t="s">
        <v>2319</v>
      </c>
      <c r="L811" s="7">
        <v>3.2080000000000002</v>
      </c>
      <c r="M811" s="8">
        <v>43819</v>
      </c>
      <c r="N811">
        <v>12</v>
      </c>
      <c r="O811" t="s">
        <v>71</v>
      </c>
      <c r="P811">
        <v>2019</v>
      </c>
      <c r="Q811">
        <v>0.15029999999999999</v>
      </c>
      <c r="R811" s="10"/>
      <c r="S811">
        <f>ROUND(ТабCЕС[[#This Row],[Зелений Тариф ЕЦ]]+ТабCЕС[[#This Row],[Зелений Тариф ЕЦ]]*ТабCЕС[[#This Row],[% надбавки]],4)</f>
        <v>0.15029999999999999</v>
      </c>
      <c r="T811" s="8"/>
    </row>
    <row r="812" spans="3:20">
      <c r="C812" t="s">
        <v>58</v>
      </c>
      <c r="D812" t="s">
        <v>384</v>
      </c>
      <c r="F812" s="1" t="s">
        <v>2320</v>
      </c>
      <c r="H812" t="s">
        <v>65</v>
      </c>
      <c r="K812" t="s">
        <v>2321</v>
      </c>
      <c r="L812" s="7">
        <v>0.52900000000000003</v>
      </c>
      <c r="M812" s="8">
        <v>43819</v>
      </c>
      <c r="N812">
        <v>12</v>
      </c>
      <c r="O812" t="s">
        <v>71</v>
      </c>
      <c r="P812">
        <v>2019</v>
      </c>
      <c r="Q812">
        <v>0.15029999999999999</v>
      </c>
      <c r="R812" s="10"/>
      <c r="S812">
        <f>ROUND(ТабCЕС[[#This Row],[Зелений Тариф ЕЦ]]+ТабCЕС[[#This Row],[Зелений Тариф ЕЦ]]*ТабCЕС[[#This Row],[% надбавки]],4)</f>
        <v>0.15029999999999999</v>
      </c>
      <c r="T812" s="8"/>
    </row>
    <row r="813" spans="3:20">
      <c r="C813" t="s">
        <v>58</v>
      </c>
      <c r="D813" t="s">
        <v>384</v>
      </c>
      <c r="F813" s="1" t="s">
        <v>2322</v>
      </c>
      <c r="H813" t="s">
        <v>69</v>
      </c>
      <c r="K813" t="s">
        <v>2323</v>
      </c>
      <c r="L813" s="7">
        <v>8.8780000000000001</v>
      </c>
      <c r="M813" s="8">
        <v>43819</v>
      </c>
      <c r="N813">
        <v>12</v>
      </c>
      <c r="O813" t="s">
        <v>71</v>
      </c>
      <c r="P813">
        <v>2019</v>
      </c>
      <c r="Q813">
        <v>0.15029999999999999</v>
      </c>
      <c r="R813" s="10"/>
      <c r="S813">
        <f>ROUND(ТабCЕС[[#This Row],[Зелений Тариф ЕЦ]]+ТабCЕС[[#This Row],[Зелений Тариф ЕЦ]]*ТабCЕС[[#This Row],[% надбавки]],4)</f>
        <v>0.15029999999999999</v>
      </c>
      <c r="T813" s="8"/>
    </row>
    <row r="814" spans="3:20">
      <c r="C814" t="s">
        <v>58</v>
      </c>
      <c r="D814" t="s">
        <v>384</v>
      </c>
      <c r="F814" s="1" t="s">
        <v>2324</v>
      </c>
      <c r="H814" t="s">
        <v>122</v>
      </c>
      <c r="K814" t="s">
        <v>2325</v>
      </c>
      <c r="L814" s="7">
        <v>1.3919999999999999</v>
      </c>
      <c r="M814" s="8">
        <v>43819</v>
      </c>
      <c r="N814">
        <v>12</v>
      </c>
      <c r="O814" t="s">
        <v>71</v>
      </c>
      <c r="P814">
        <v>2019</v>
      </c>
      <c r="Q814">
        <v>0.15029999999999999</v>
      </c>
      <c r="R814" s="10"/>
      <c r="S814">
        <f>ROUND(ТабCЕС[[#This Row],[Зелений Тариф ЕЦ]]+ТабCЕС[[#This Row],[Зелений Тариф ЕЦ]]*ТабCЕС[[#This Row],[% надбавки]],4)</f>
        <v>0.15029999999999999</v>
      </c>
      <c r="T814" s="8"/>
    </row>
    <row r="815" spans="3:20">
      <c r="C815" t="s">
        <v>58</v>
      </c>
      <c r="D815" t="s">
        <v>384</v>
      </c>
      <c r="F815" s="1" t="s">
        <v>2326</v>
      </c>
      <c r="H815" t="s">
        <v>73</v>
      </c>
      <c r="K815" t="s">
        <v>2327</v>
      </c>
      <c r="L815" s="7">
        <v>3.355</v>
      </c>
      <c r="M815" s="8">
        <v>43819</v>
      </c>
      <c r="N815">
        <v>12</v>
      </c>
      <c r="O815" t="s">
        <v>71</v>
      </c>
      <c r="P815">
        <v>2019</v>
      </c>
      <c r="Q815">
        <v>0.15029999999999999</v>
      </c>
      <c r="R815" s="10"/>
      <c r="S815">
        <f>ROUND(ТабCЕС[[#This Row],[Зелений Тариф ЕЦ]]+ТабCЕС[[#This Row],[Зелений Тариф ЕЦ]]*ТабCЕС[[#This Row],[% надбавки]],4)</f>
        <v>0.15029999999999999</v>
      </c>
      <c r="T815" s="8"/>
    </row>
    <row r="816" spans="3:20">
      <c r="C816" t="s">
        <v>58</v>
      </c>
      <c r="D816" t="s">
        <v>384</v>
      </c>
      <c r="F816" s="1" t="s">
        <v>2328</v>
      </c>
      <c r="H816" t="s">
        <v>69</v>
      </c>
      <c r="K816" t="s">
        <v>2250</v>
      </c>
      <c r="L816" s="7">
        <v>9.4909999999999997</v>
      </c>
      <c r="M816" s="8">
        <v>43819</v>
      </c>
      <c r="N816">
        <v>12</v>
      </c>
      <c r="O816" t="s">
        <v>71</v>
      </c>
      <c r="P816">
        <v>2019</v>
      </c>
      <c r="Q816">
        <v>0.15029999999999999</v>
      </c>
      <c r="R816" s="10"/>
      <c r="S816">
        <f>ROUND(ТабCЕС[[#This Row],[Зелений Тариф ЕЦ]]+ТабCЕС[[#This Row],[Зелений Тариф ЕЦ]]*ТабCЕС[[#This Row],[% надбавки]],4)</f>
        <v>0.15029999999999999</v>
      </c>
      <c r="T816" s="8"/>
    </row>
    <row r="817" spans="3:20">
      <c r="C817" t="s">
        <v>58</v>
      </c>
      <c r="D817" t="s">
        <v>384</v>
      </c>
      <c r="F817" s="1" t="s">
        <v>2329</v>
      </c>
      <c r="H817" t="s">
        <v>122</v>
      </c>
      <c r="K817" t="s">
        <v>2330</v>
      </c>
      <c r="L817" s="7">
        <v>12.757999999999999</v>
      </c>
      <c r="M817" s="8">
        <v>43823</v>
      </c>
      <c r="N817">
        <v>12</v>
      </c>
      <c r="O817" t="s">
        <v>71</v>
      </c>
      <c r="P817">
        <v>2019</v>
      </c>
      <c r="Q817">
        <v>0.15029999999999999</v>
      </c>
      <c r="R817" s="10"/>
      <c r="S817">
        <f>ROUND(ТабCЕС[[#This Row],[Зелений Тариф ЕЦ]]+ТабCЕС[[#This Row],[Зелений Тариф ЕЦ]]*ТабCЕС[[#This Row],[% надбавки]],4)</f>
        <v>0.15029999999999999</v>
      </c>
      <c r="T817" s="8"/>
    </row>
    <row r="818" spans="3:20">
      <c r="C818" t="s">
        <v>58</v>
      </c>
      <c r="D818" t="s">
        <v>384</v>
      </c>
      <c r="F818" s="1" t="s">
        <v>2331</v>
      </c>
      <c r="H818" t="s">
        <v>98</v>
      </c>
      <c r="K818" t="s">
        <v>2332</v>
      </c>
      <c r="L818" s="7">
        <v>18.257000000000001</v>
      </c>
      <c r="M818" s="8">
        <v>43823</v>
      </c>
      <c r="N818">
        <v>12</v>
      </c>
      <c r="O818" t="s">
        <v>71</v>
      </c>
      <c r="P818">
        <v>2019</v>
      </c>
      <c r="Q818">
        <v>0.15029999999999999</v>
      </c>
      <c r="R818" s="10"/>
      <c r="S818">
        <f>ROUND(ТабCЕС[[#This Row],[Зелений Тариф ЕЦ]]+ТабCЕС[[#This Row],[Зелений Тариф ЕЦ]]*ТабCЕС[[#This Row],[% надбавки]],4)</f>
        <v>0.15029999999999999</v>
      </c>
      <c r="T818" s="8"/>
    </row>
    <row r="819" spans="3:20">
      <c r="C819" t="s">
        <v>58</v>
      </c>
      <c r="D819" t="s">
        <v>384</v>
      </c>
      <c r="F819" s="1" t="s">
        <v>2333</v>
      </c>
      <c r="H819" t="s">
        <v>122</v>
      </c>
      <c r="K819" t="s">
        <v>2334</v>
      </c>
      <c r="L819" s="7">
        <v>25.276</v>
      </c>
      <c r="M819" s="8">
        <v>43823</v>
      </c>
      <c r="N819">
        <v>12</v>
      </c>
      <c r="O819" t="s">
        <v>71</v>
      </c>
      <c r="P819">
        <v>2019</v>
      </c>
      <c r="Q819">
        <v>0.15029999999999999</v>
      </c>
      <c r="R819" s="10"/>
      <c r="S819">
        <f>ROUND(ТабCЕС[[#This Row],[Зелений Тариф ЕЦ]]+ТабCЕС[[#This Row],[Зелений Тариф ЕЦ]]*ТабCЕС[[#This Row],[% надбавки]],4)</f>
        <v>0.15029999999999999</v>
      </c>
      <c r="T819" s="8"/>
    </row>
    <row r="820" spans="3:20">
      <c r="C820" t="s">
        <v>58</v>
      </c>
      <c r="D820" t="s">
        <v>384</v>
      </c>
      <c r="F820" s="1" t="s">
        <v>2335</v>
      </c>
      <c r="H820" t="s">
        <v>122</v>
      </c>
      <c r="K820" t="s">
        <v>2336</v>
      </c>
      <c r="L820" s="7">
        <v>12.189</v>
      </c>
      <c r="M820" s="8">
        <v>43823</v>
      </c>
      <c r="N820">
        <v>12</v>
      </c>
      <c r="O820" t="s">
        <v>71</v>
      </c>
      <c r="P820">
        <v>2019</v>
      </c>
      <c r="Q820">
        <v>0.15029999999999999</v>
      </c>
      <c r="R820" s="10"/>
      <c r="S820">
        <f>ROUND(ТабCЕС[[#This Row],[Зелений Тариф ЕЦ]]+ТабCЕС[[#This Row],[Зелений Тариф ЕЦ]]*ТабCЕС[[#This Row],[% надбавки]],4)</f>
        <v>0.15029999999999999</v>
      </c>
      <c r="T820" s="8"/>
    </row>
    <row r="821" spans="3:20">
      <c r="C821" t="s">
        <v>58</v>
      </c>
      <c r="D821" t="s">
        <v>384</v>
      </c>
      <c r="F821" s="1" t="s">
        <v>2337</v>
      </c>
      <c r="H821" t="s">
        <v>136</v>
      </c>
      <c r="K821" t="s">
        <v>2338</v>
      </c>
      <c r="L821" s="7">
        <v>91.287000000000006</v>
      </c>
      <c r="M821" s="8">
        <v>43823</v>
      </c>
      <c r="N821">
        <v>12</v>
      </c>
      <c r="O821" t="s">
        <v>71</v>
      </c>
      <c r="P821">
        <v>2019</v>
      </c>
      <c r="Q821">
        <v>0.15029999999999999</v>
      </c>
      <c r="R821" s="10"/>
      <c r="S821">
        <f>ROUND(ТабCЕС[[#This Row],[Зелений Тариф ЕЦ]]+ТабCЕС[[#This Row],[Зелений Тариф ЕЦ]]*ТабCЕС[[#This Row],[% надбавки]],4)</f>
        <v>0.15029999999999999</v>
      </c>
      <c r="T821" s="8"/>
    </row>
    <row r="822" spans="3:20">
      <c r="C822" t="s">
        <v>58</v>
      </c>
      <c r="D822" t="s">
        <v>384</v>
      </c>
      <c r="F822" s="1" t="s">
        <v>2339</v>
      </c>
      <c r="H822" t="s">
        <v>141</v>
      </c>
      <c r="K822" t="s">
        <v>2340</v>
      </c>
      <c r="L822" s="7">
        <v>11.694000000000001</v>
      </c>
      <c r="M822" s="8">
        <v>43823</v>
      </c>
      <c r="N822">
        <v>12</v>
      </c>
      <c r="O822" t="s">
        <v>71</v>
      </c>
      <c r="P822">
        <v>2019</v>
      </c>
      <c r="Q822">
        <v>0.15029999999999999</v>
      </c>
      <c r="R822" s="10"/>
      <c r="S822">
        <f>ROUND(ТабCЕС[[#This Row],[Зелений Тариф ЕЦ]]+ТабCЕС[[#This Row],[Зелений Тариф ЕЦ]]*ТабCЕС[[#This Row],[% надбавки]],4)</f>
        <v>0.15029999999999999</v>
      </c>
      <c r="T822" s="8"/>
    </row>
    <row r="823" spans="3:20">
      <c r="C823" t="s">
        <v>58</v>
      </c>
      <c r="D823" t="s">
        <v>384</v>
      </c>
      <c r="F823" s="1" t="s">
        <v>2341</v>
      </c>
      <c r="H823" t="s">
        <v>82</v>
      </c>
      <c r="K823" t="s">
        <v>2342</v>
      </c>
      <c r="L823" s="7">
        <v>13.43</v>
      </c>
      <c r="M823" s="8">
        <v>43823</v>
      </c>
      <c r="N823">
        <v>12</v>
      </c>
      <c r="O823" t="s">
        <v>71</v>
      </c>
      <c r="P823">
        <v>2019</v>
      </c>
      <c r="Q823">
        <v>0.15029999999999999</v>
      </c>
      <c r="R823" s="10"/>
      <c r="S823">
        <f>ROUND(ТабCЕС[[#This Row],[Зелений Тариф ЕЦ]]+ТабCЕС[[#This Row],[Зелений Тариф ЕЦ]]*ТабCЕС[[#This Row],[% надбавки]],4)</f>
        <v>0.15029999999999999</v>
      </c>
      <c r="T823" s="8"/>
    </row>
    <row r="824" spans="3:20">
      <c r="C824" t="s">
        <v>58</v>
      </c>
      <c r="D824" t="s">
        <v>384</v>
      </c>
      <c r="F824" s="1" t="s">
        <v>2343</v>
      </c>
      <c r="H824" t="s">
        <v>82</v>
      </c>
      <c r="K824" t="s">
        <v>2344</v>
      </c>
      <c r="L824" s="7">
        <v>13.092000000000001</v>
      </c>
      <c r="M824" s="8">
        <v>43823</v>
      </c>
      <c r="N824">
        <v>12</v>
      </c>
      <c r="O824" t="s">
        <v>71</v>
      </c>
      <c r="P824">
        <v>2019</v>
      </c>
      <c r="Q824">
        <v>0.15029999999999999</v>
      </c>
      <c r="R824" s="10"/>
      <c r="S824">
        <f>ROUND(ТабCЕС[[#This Row],[Зелений Тариф ЕЦ]]+ТабCЕС[[#This Row],[Зелений Тариф ЕЦ]]*ТабCЕС[[#This Row],[% надбавки]],4)</f>
        <v>0.15029999999999999</v>
      </c>
      <c r="T824" s="8"/>
    </row>
    <row r="825" spans="3:20">
      <c r="C825" t="s">
        <v>58</v>
      </c>
      <c r="D825" t="s">
        <v>384</v>
      </c>
      <c r="F825" s="1" t="s">
        <v>2345</v>
      </c>
      <c r="H825" t="s">
        <v>82</v>
      </c>
      <c r="K825" t="s">
        <v>2346</v>
      </c>
      <c r="L825" s="7">
        <v>6.62</v>
      </c>
      <c r="M825" s="8">
        <v>43823</v>
      </c>
      <c r="N825">
        <v>12</v>
      </c>
      <c r="O825" t="s">
        <v>71</v>
      </c>
      <c r="P825">
        <v>2019</v>
      </c>
      <c r="Q825">
        <v>0.15029999999999999</v>
      </c>
      <c r="R825" s="10"/>
      <c r="S825">
        <f>ROUND(ТабCЕС[[#This Row],[Зелений Тариф ЕЦ]]+ТабCЕС[[#This Row],[Зелений Тариф ЕЦ]]*ТабCЕС[[#This Row],[% надбавки]],4)</f>
        <v>0.15029999999999999</v>
      </c>
      <c r="T825" s="8"/>
    </row>
    <row r="826" spans="3:20">
      <c r="C826" t="s">
        <v>58</v>
      </c>
      <c r="D826" t="s">
        <v>384</v>
      </c>
      <c r="F826" s="1" t="s">
        <v>2347</v>
      </c>
      <c r="H826" t="s">
        <v>122</v>
      </c>
      <c r="K826" t="s">
        <v>2348</v>
      </c>
      <c r="L826" s="7">
        <v>11.531000000000001</v>
      </c>
      <c r="M826" s="8">
        <v>43823</v>
      </c>
      <c r="N826">
        <v>12</v>
      </c>
      <c r="O826" t="s">
        <v>71</v>
      </c>
      <c r="P826">
        <v>2019</v>
      </c>
      <c r="Q826">
        <v>0.15029999999999999</v>
      </c>
      <c r="R826" s="10"/>
      <c r="S826">
        <f>ROUND(ТабCЕС[[#This Row],[Зелений Тариф ЕЦ]]+ТабCЕС[[#This Row],[Зелений Тариф ЕЦ]]*ТабCЕС[[#This Row],[% надбавки]],4)</f>
        <v>0.15029999999999999</v>
      </c>
      <c r="T826" s="8"/>
    </row>
    <row r="827" spans="3:20">
      <c r="C827" t="s">
        <v>58</v>
      </c>
      <c r="D827" t="s">
        <v>384</v>
      </c>
      <c r="F827" s="1" t="s">
        <v>2349</v>
      </c>
      <c r="H827" t="s">
        <v>122</v>
      </c>
      <c r="K827" t="s">
        <v>2350</v>
      </c>
      <c r="L827" s="7">
        <v>19.699000000000002</v>
      </c>
      <c r="M827" s="8">
        <v>43823</v>
      </c>
      <c r="N827">
        <v>12</v>
      </c>
      <c r="O827" t="s">
        <v>71</v>
      </c>
      <c r="P827">
        <v>2019</v>
      </c>
      <c r="Q827">
        <v>0.15029999999999999</v>
      </c>
      <c r="R827" s="10"/>
      <c r="S827">
        <f>ROUND(ТабCЕС[[#This Row],[Зелений Тариф ЕЦ]]+ТабCЕС[[#This Row],[Зелений Тариф ЕЦ]]*ТабCЕС[[#This Row],[% надбавки]],4)</f>
        <v>0.15029999999999999</v>
      </c>
      <c r="T827" s="8"/>
    </row>
    <row r="828" spans="3:20">
      <c r="C828" t="s">
        <v>58</v>
      </c>
      <c r="D828" t="s">
        <v>384</v>
      </c>
      <c r="F828" s="1" t="s">
        <v>2351</v>
      </c>
      <c r="H828" t="s">
        <v>65</v>
      </c>
      <c r="K828" t="s">
        <v>2352</v>
      </c>
      <c r="L828" s="7">
        <v>1.536</v>
      </c>
      <c r="M828" s="8">
        <v>43823</v>
      </c>
      <c r="N828">
        <v>12</v>
      </c>
      <c r="O828" t="s">
        <v>71</v>
      </c>
      <c r="P828">
        <v>2019</v>
      </c>
      <c r="Q828">
        <v>0.15029999999999999</v>
      </c>
      <c r="R828" s="10"/>
      <c r="S828">
        <f>ROUND(ТабCЕС[[#This Row],[Зелений Тариф ЕЦ]]+ТабCЕС[[#This Row],[Зелений Тариф ЕЦ]]*ТабCЕС[[#This Row],[% надбавки]],4)</f>
        <v>0.15029999999999999</v>
      </c>
      <c r="T828" s="8"/>
    </row>
    <row r="829" spans="3:20">
      <c r="C829" t="s">
        <v>58</v>
      </c>
      <c r="D829" t="s">
        <v>384</v>
      </c>
      <c r="F829" s="1" t="s">
        <v>2353</v>
      </c>
      <c r="H829" t="s">
        <v>172</v>
      </c>
      <c r="K829" t="s">
        <v>2354</v>
      </c>
      <c r="L829" s="7">
        <v>1.1080000000000001</v>
      </c>
      <c r="M829" s="8">
        <v>43823</v>
      </c>
      <c r="N829">
        <v>12</v>
      </c>
      <c r="O829" t="s">
        <v>71</v>
      </c>
      <c r="P829">
        <v>2019</v>
      </c>
      <c r="Q829">
        <v>0.15029999999999999</v>
      </c>
      <c r="R829" s="10"/>
      <c r="S829">
        <f>ROUND(ТабCЕС[[#This Row],[Зелений Тариф ЕЦ]]+ТабCЕС[[#This Row],[Зелений Тариф ЕЦ]]*ТабCЕС[[#This Row],[% надбавки]],4)</f>
        <v>0.15029999999999999</v>
      </c>
      <c r="T829" s="8"/>
    </row>
    <row r="830" spans="3:20">
      <c r="C830" t="s">
        <v>58</v>
      </c>
      <c r="D830" t="s">
        <v>384</v>
      </c>
      <c r="F830" s="1" t="s">
        <v>2355</v>
      </c>
      <c r="H830" t="s">
        <v>65</v>
      </c>
      <c r="K830" t="s">
        <v>2356</v>
      </c>
      <c r="L830" s="7">
        <v>3.6680000000000001</v>
      </c>
      <c r="M830" s="8">
        <v>43823</v>
      </c>
      <c r="N830">
        <v>12</v>
      </c>
      <c r="O830" t="s">
        <v>71</v>
      </c>
      <c r="P830">
        <v>2019</v>
      </c>
      <c r="Q830">
        <v>0.15029999999999999</v>
      </c>
      <c r="R830" s="10"/>
      <c r="S830">
        <f>ROUND(ТабCЕС[[#This Row],[Зелений Тариф ЕЦ]]+ТабCЕС[[#This Row],[Зелений Тариф ЕЦ]]*ТабCЕС[[#This Row],[% надбавки]],4)</f>
        <v>0.15029999999999999</v>
      </c>
      <c r="T830" s="8"/>
    </row>
    <row r="831" spans="3:20">
      <c r="C831" t="s">
        <v>58</v>
      </c>
      <c r="D831" t="s">
        <v>384</v>
      </c>
      <c r="F831" s="1" t="s">
        <v>2357</v>
      </c>
      <c r="H831" t="s">
        <v>172</v>
      </c>
      <c r="K831" t="s">
        <v>2358</v>
      </c>
      <c r="L831" s="7">
        <v>1.1519999999999999</v>
      </c>
      <c r="M831" s="8">
        <v>43823</v>
      </c>
      <c r="N831">
        <v>12</v>
      </c>
      <c r="O831" t="s">
        <v>71</v>
      </c>
      <c r="P831">
        <v>2019</v>
      </c>
      <c r="Q831">
        <v>0.15029999999999999</v>
      </c>
      <c r="R831" s="10"/>
      <c r="S831">
        <f>ROUND(ТабCЕС[[#This Row],[Зелений Тариф ЕЦ]]+ТабCЕС[[#This Row],[Зелений Тариф ЕЦ]]*ТабCЕС[[#This Row],[% надбавки]],4)</f>
        <v>0.15029999999999999</v>
      </c>
      <c r="T831" s="8"/>
    </row>
    <row r="832" spans="3:20">
      <c r="C832" t="s">
        <v>58</v>
      </c>
      <c r="D832" t="s">
        <v>384</v>
      </c>
      <c r="F832" s="1" t="s">
        <v>2359</v>
      </c>
      <c r="H832" t="s">
        <v>172</v>
      </c>
      <c r="K832" t="s">
        <v>2360</v>
      </c>
      <c r="L832" s="7">
        <v>3.61</v>
      </c>
      <c r="M832" s="8">
        <v>43823</v>
      </c>
      <c r="N832">
        <v>12</v>
      </c>
      <c r="O832" t="s">
        <v>71</v>
      </c>
      <c r="P832">
        <v>2019</v>
      </c>
      <c r="Q832">
        <v>0.15029999999999999</v>
      </c>
      <c r="R832" s="10"/>
      <c r="S832">
        <f>ROUND(ТабCЕС[[#This Row],[Зелений Тариф ЕЦ]]+ТабCЕС[[#This Row],[Зелений Тариф ЕЦ]]*ТабCЕС[[#This Row],[% надбавки]],4)</f>
        <v>0.15029999999999999</v>
      </c>
      <c r="T832" s="8"/>
    </row>
    <row r="833" spans="3:20">
      <c r="C833" t="s">
        <v>58</v>
      </c>
      <c r="D833" t="s">
        <v>384</v>
      </c>
      <c r="F833" s="1" t="s">
        <v>2361</v>
      </c>
      <c r="H833" t="s">
        <v>136</v>
      </c>
      <c r="K833" t="s">
        <v>2362</v>
      </c>
      <c r="L833" s="7">
        <v>4.9489999999999998</v>
      </c>
      <c r="M833" s="8">
        <v>43823</v>
      </c>
      <c r="N833">
        <v>12</v>
      </c>
      <c r="O833" t="s">
        <v>71</v>
      </c>
      <c r="P833">
        <v>2019</v>
      </c>
      <c r="Q833">
        <v>0.15029999999999999</v>
      </c>
      <c r="R833" s="10"/>
      <c r="S833">
        <f>ROUND(ТабCЕС[[#This Row],[Зелений Тариф ЕЦ]]+ТабCЕС[[#This Row],[Зелений Тариф ЕЦ]]*ТабCЕС[[#This Row],[% надбавки]],4)</f>
        <v>0.15029999999999999</v>
      </c>
      <c r="T833" s="8"/>
    </row>
    <row r="834" spans="3:20">
      <c r="C834" t="s">
        <v>58</v>
      </c>
      <c r="D834" t="s">
        <v>384</v>
      </c>
      <c r="F834" s="1" t="s">
        <v>2363</v>
      </c>
      <c r="H834" t="s">
        <v>163</v>
      </c>
      <c r="K834" t="s">
        <v>2364</v>
      </c>
      <c r="L834" s="7">
        <v>2.371</v>
      </c>
      <c r="M834" s="8">
        <v>43823</v>
      </c>
      <c r="N834">
        <v>12</v>
      </c>
      <c r="O834" t="s">
        <v>71</v>
      </c>
      <c r="P834">
        <v>2019</v>
      </c>
      <c r="Q834">
        <v>0.15029999999999999</v>
      </c>
      <c r="R834" s="10"/>
      <c r="S834">
        <f>ROUND(ТабCЕС[[#This Row],[Зелений Тариф ЕЦ]]+ТабCЕС[[#This Row],[Зелений Тариф ЕЦ]]*ТабCЕС[[#This Row],[% надбавки]],4)</f>
        <v>0.15029999999999999</v>
      </c>
      <c r="T834" s="8"/>
    </row>
    <row r="835" spans="3:20">
      <c r="C835" t="s">
        <v>58</v>
      </c>
      <c r="D835" t="s">
        <v>384</v>
      </c>
      <c r="F835" s="1" t="s">
        <v>2365</v>
      </c>
      <c r="H835" t="s">
        <v>82</v>
      </c>
      <c r="K835" t="s">
        <v>2366</v>
      </c>
      <c r="L835" s="7">
        <v>0.47399999999999998</v>
      </c>
      <c r="M835" s="8">
        <v>43823</v>
      </c>
      <c r="N835">
        <v>12</v>
      </c>
      <c r="O835" t="s">
        <v>71</v>
      </c>
      <c r="P835">
        <v>2019</v>
      </c>
      <c r="Q835">
        <v>0.15029999999999999</v>
      </c>
      <c r="R835" s="10"/>
      <c r="S835">
        <f>ROUND(ТабCЕС[[#This Row],[Зелений Тариф ЕЦ]]+ТабCЕС[[#This Row],[Зелений Тариф ЕЦ]]*ТабCЕС[[#This Row],[% надбавки]],4)</f>
        <v>0.15029999999999999</v>
      </c>
      <c r="T835" s="8"/>
    </row>
    <row r="836" spans="3:20">
      <c r="C836" t="s">
        <v>58</v>
      </c>
      <c r="D836" t="s">
        <v>384</v>
      </c>
      <c r="F836" s="1" t="s">
        <v>2367</v>
      </c>
      <c r="H836" t="s">
        <v>233</v>
      </c>
      <c r="K836" t="s">
        <v>2368</v>
      </c>
      <c r="L836" s="7">
        <v>9.375</v>
      </c>
      <c r="M836" s="8">
        <v>43823</v>
      </c>
      <c r="N836">
        <v>12</v>
      </c>
      <c r="O836" t="s">
        <v>71</v>
      </c>
      <c r="P836">
        <v>2019</v>
      </c>
      <c r="Q836">
        <v>0.15029999999999999</v>
      </c>
      <c r="R836" s="10"/>
      <c r="S836">
        <f>ROUND(ТабCЕС[[#This Row],[Зелений Тариф ЕЦ]]+ТабCЕС[[#This Row],[Зелений Тариф ЕЦ]]*ТабCЕС[[#This Row],[% надбавки]],4)</f>
        <v>0.15029999999999999</v>
      </c>
      <c r="T836" s="8"/>
    </row>
    <row r="837" spans="3:20">
      <c r="C837" t="s">
        <v>58</v>
      </c>
      <c r="D837" t="s">
        <v>384</v>
      </c>
      <c r="F837" s="1" t="s">
        <v>2369</v>
      </c>
      <c r="H837" t="s">
        <v>233</v>
      </c>
      <c r="K837" t="s">
        <v>2370</v>
      </c>
      <c r="L837" s="7">
        <v>1.0629999999999999</v>
      </c>
      <c r="M837" s="8">
        <v>43823</v>
      </c>
      <c r="N837">
        <v>12</v>
      </c>
      <c r="O837" t="s">
        <v>71</v>
      </c>
      <c r="P837">
        <v>2019</v>
      </c>
      <c r="Q837">
        <v>0.15029999999999999</v>
      </c>
      <c r="R837" s="10"/>
      <c r="S837">
        <f>ROUND(ТабCЕС[[#This Row],[Зелений Тариф ЕЦ]]+ТабCЕС[[#This Row],[Зелений Тариф ЕЦ]]*ТабCЕС[[#This Row],[% надбавки]],4)</f>
        <v>0.15029999999999999</v>
      </c>
      <c r="T837" s="8"/>
    </row>
    <row r="838" spans="3:20">
      <c r="C838" t="s">
        <v>58</v>
      </c>
      <c r="D838" t="s">
        <v>384</v>
      </c>
      <c r="F838" s="1" t="s">
        <v>2371</v>
      </c>
      <c r="H838" t="s">
        <v>233</v>
      </c>
      <c r="K838" t="s">
        <v>2372</v>
      </c>
      <c r="L838" s="7">
        <v>1.363</v>
      </c>
      <c r="M838" s="8">
        <v>43823</v>
      </c>
      <c r="N838">
        <v>12</v>
      </c>
      <c r="O838" t="s">
        <v>71</v>
      </c>
      <c r="P838">
        <v>2019</v>
      </c>
      <c r="Q838">
        <v>0.15029999999999999</v>
      </c>
      <c r="R838" s="10"/>
      <c r="S838">
        <f>ROUND(ТабCЕС[[#This Row],[Зелений Тариф ЕЦ]]+ТабCЕС[[#This Row],[Зелений Тариф ЕЦ]]*ТабCЕС[[#This Row],[% надбавки]],4)</f>
        <v>0.15029999999999999</v>
      </c>
      <c r="T838" s="8"/>
    </row>
    <row r="839" spans="3:20">
      <c r="C839" t="s">
        <v>58</v>
      </c>
      <c r="D839" t="s">
        <v>384</v>
      </c>
      <c r="F839" s="1" t="s">
        <v>2373</v>
      </c>
      <c r="H839" t="s">
        <v>69</v>
      </c>
      <c r="K839" t="s">
        <v>2374</v>
      </c>
      <c r="L839" s="7">
        <v>5.242</v>
      </c>
      <c r="M839" s="8">
        <v>43823</v>
      </c>
      <c r="N839">
        <v>12</v>
      </c>
      <c r="O839" t="s">
        <v>71</v>
      </c>
      <c r="P839">
        <v>2019</v>
      </c>
      <c r="Q839">
        <v>0.15029999999999999</v>
      </c>
      <c r="R839" s="10"/>
      <c r="S839">
        <f>ROUND(ТабCЕС[[#This Row],[Зелений Тариф ЕЦ]]+ТабCЕС[[#This Row],[Зелений Тариф ЕЦ]]*ТабCЕС[[#This Row],[% надбавки]],4)</f>
        <v>0.15029999999999999</v>
      </c>
      <c r="T839" s="8"/>
    </row>
    <row r="840" spans="3:20">
      <c r="C840" t="s">
        <v>58</v>
      </c>
      <c r="D840" t="s">
        <v>384</v>
      </c>
      <c r="F840" s="1" t="s">
        <v>2375</v>
      </c>
      <c r="H840" t="s">
        <v>62</v>
      </c>
      <c r="K840" t="s">
        <v>2376</v>
      </c>
      <c r="L840" s="7">
        <v>1.3520000000000001</v>
      </c>
      <c r="M840" s="8">
        <v>43823</v>
      </c>
      <c r="N840">
        <v>12</v>
      </c>
      <c r="O840" t="s">
        <v>71</v>
      </c>
      <c r="P840">
        <v>2019</v>
      </c>
      <c r="Q840">
        <v>0.15029999999999999</v>
      </c>
      <c r="R840" s="10"/>
      <c r="S840">
        <f>ROUND(ТабCЕС[[#This Row],[Зелений Тариф ЕЦ]]+ТабCЕС[[#This Row],[Зелений Тариф ЕЦ]]*ТабCЕС[[#This Row],[% надбавки]],4)</f>
        <v>0.15029999999999999</v>
      </c>
      <c r="T840" s="8"/>
    </row>
    <row r="841" spans="3:20">
      <c r="C841" t="s">
        <v>58</v>
      </c>
      <c r="D841" t="s">
        <v>384</v>
      </c>
      <c r="F841" s="1" t="s">
        <v>2377</v>
      </c>
      <c r="H841" t="s">
        <v>172</v>
      </c>
      <c r="K841" t="s">
        <v>2378</v>
      </c>
      <c r="L841" s="7">
        <v>0.40699999999999997</v>
      </c>
      <c r="M841" s="8">
        <v>43823</v>
      </c>
      <c r="N841">
        <v>12</v>
      </c>
      <c r="O841" t="s">
        <v>71</v>
      </c>
      <c r="P841">
        <v>2019</v>
      </c>
      <c r="Q841">
        <v>0.16370000000000001</v>
      </c>
      <c r="R841" s="10"/>
      <c r="S841">
        <f>ROUND(ТабCЕС[[#This Row],[Зелений Тариф ЕЦ]]+ТабCЕС[[#This Row],[Зелений Тариф ЕЦ]]*ТабCЕС[[#This Row],[% надбавки]],4)</f>
        <v>0.16370000000000001</v>
      </c>
      <c r="T841" s="8"/>
    </row>
    <row r="842" spans="3:20">
      <c r="C842" t="s">
        <v>58</v>
      </c>
      <c r="D842" t="s">
        <v>384</v>
      </c>
      <c r="F842" s="1" t="s">
        <v>2379</v>
      </c>
      <c r="H842" t="s">
        <v>122</v>
      </c>
      <c r="K842" t="s">
        <v>2380</v>
      </c>
      <c r="L842" s="7">
        <v>0.22700000000000001</v>
      </c>
      <c r="M842" s="8">
        <v>43823</v>
      </c>
      <c r="N842">
        <v>12</v>
      </c>
      <c r="O842" t="s">
        <v>71</v>
      </c>
      <c r="P842">
        <v>2019</v>
      </c>
      <c r="Q842">
        <v>0.16370000000000001</v>
      </c>
      <c r="R842" s="10"/>
      <c r="S842">
        <f>ROUND(ТабCЕС[[#This Row],[Зелений Тариф ЕЦ]]+ТабCЕС[[#This Row],[Зелений Тариф ЕЦ]]*ТабCЕС[[#This Row],[% надбавки]],4)</f>
        <v>0.16370000000000001</v>
      </c>
      <c r="T842" s="8"/>
    </row>
    <row r="843" spans="3:20">
      <c r="C843" t="s">
        <v>58</v>
      </c>
      <c r="D843" t="s">
        <v>384</v>
      </c>
      <c r="F843" s="1" t="s">
        <v>2381</v>
      </c>
      <c r="H843" t="s">
        <v>172</v>
      </c>
      <c r="K843" t="s">
        <v>2382</v>
      </c>
      <c r="L843" s="7">
        <v>0.58499999999999996</v>
      </c>
      <c r="M843" s="8">
        <v>43823</v>
      </c>
      <c r="N843">
        <v>12</v>
      </c>
      <c r="O843" t="s">
        <v>71</v>
      </c>
      <c r="P843">
        <v>2019</v>
      </c>
      <c r="Q843">
        <v>0.16370000000000001</v>
      </c>
      <c r="R843" s="10"/>
      <c r="S843">
        <f>ROUND(ТабCЕС[[#This Row],[Зелений Тариф ЕЦ]]+ТабCЕС[[#This Row],[Зелений Тариф ЕЦ]]*ТабCЕС[[#This Row],[% надбавки]],4)</f>
        <v>0.16370000000000001</v>
      </c>
      <c r="T843" s="8"/>
    </row>
    <row r="844" spans="3:20">
      <c r="C844" t="s">
        <v>58</v>
      </c>
      <c r="D844" t="s">
        <v>384</v>
      </c>
      <c r="F844" s="1" t="s">
        <v>2383</v>
      </c>
      <c r="H844" t="s">
        <v>65</v>
      </c>
      <c r="K844" t="s">
        <v>2384</v>
      </c>
      <c r="L844" s="7">
        <v>0.57799999999999996</v>
      </c>
      <c r="M844" s="8">
        <v>43823</v>
      </c>
      <c r="N844">
        <v>12</v>
      </c>
      <c r="O844" t="s">
        <v>71</v>
      </c>
      <c r="P844">
        <v>2019</v>
      </c>
      <c r="Q844">
        <v>0.16370000000000001</v>
      </c>
      <c r="R844" s="10"/>
      <c r="S844">
        <f>ROUND(ТабCЕС[[#This Row],[Зелений Тариф ЕЦ]]+ТабCЕС[[#This Row],[Зелений Тариф ЕЦ]]*ТабCЕС[[#This Row],[% надбавки]],4)</f>
        <v>0.16370000000000001</v>
      </c>
      <c r="T844" s="8"/>
    </row>
    <row r="845" spans="3:20">
      <c r="C845" t="s">
        <v>58</v>
      </c>
      <c r="D845" t="s">
        <v>384</v>
      </c>
      <c r="F845" s="1" t="s">
        <v>2385</v>
      </c>
      <c r="H845" t="s">
        <v>62</v>
      </c>
      <c r="K845" t="s">
        <v>2386</v>
      </c>
      <c r="L845" s="7">
        <v>0.252</v>
      </c>
      <c r="M845" s="8">
        <v>43823</v>
      </c>
      <c r="N845">
        <v>12</v>
      </c>
      <c r="O845" t="s">
        <v>71</v>
      </c>
      <c r="P845">
        <v>2019</v>
      </c>
      <c r="Q845">
        <v>0.16370000000000001</v>
      </c>
      <c r="R845" s="10"/>
      <c r="S845">
        <f>ROUND(ТабCЕС[[#This Row],[Зелений Тариф ЕЦ]]+ТабCЕС[[#This Row],[Зелений Тариф ЕЦ]]*ТабCЕС[[#This Row],[% надбавки]],4)</f>
        <v>0.16370000000000001</v>
      </c>
      <c r="T845" s="8"/>
    </row>
    <row r="846" spans="3:20" ht="25.5">
      <c r="C846" t="s">
        <v>58</v>
      </c>
      <c r="D846" t="s">
        <v>384</v>
      </c>
      <c r="F846" s="1" t="s">
        <v>2387</v>
      </c>
      <c r="H846" t="s">
        <v>263</v>
      </c>
      <c r="K846" t="s">
        <v>2388</v>
      </c>
      <c r="L846" s="7">
        <v>0.47099999999999997</v>
      </c>
      <c r="M846" s="8">
        <v>43823</v>
      </c>
      <c r="N846">
        <v>12</v>
      </c>
      <c r="O846" t="s">
        <v>71</v>
      </c>
      <c r="P846">
        <v>2019</v>
      </c>
      <c r="Q846">
        <v>0.16370000000000001</v>
      </c>
      <c r="R846" s="10"/>
      <c r="S846">
        <f>ROUND(ТабCЕС[[#This Row],[Зелений Тариф ЕЦ]]+ТабCЕС[[#This Row],[Зелений Тариф ЕЦ]]*ТабCЕС[[#This Row],[% надбавки]],4)</f>
        <v>0.16370000000000001</v>
      </c>
      <c r="T846" s="8"/>
    </row>
    <row r="847" spans="3:20">
      <c r="C847" t="s">
        <v>58</v>
      </c>
      <c r="D847" t="s">
        <v>384</v>
      </c>
      <c r="F847" s="1" t="s">
        <v>2389</v>
      </c>
      <c r="H847" t="s">
        <v>163</v>
      </c>
      <c r="K847" t="s">
        <v>2390</v>
      </c>
      <c r="L847" s="7">
        <v>31.92</v>
      </c>
      <c r="M847" s="8">
        <v>43823</v>
      </c>
      <c r="N847">
        <v>12</v>
      </c>
      <c r="O847" t="s">
        <v>71</v>
      </c>
      <c r="P847">
        <v>2019</v>
      </c>
      <c r="Q847">
        <v>0.15029999999999999</v>
      </c>
      <c r="R847" s="10"/>
      <c r="S847">
        <f>ROUND(ТабCЕС[[#This Row],[Зелений Тариф ЕЦ]]+ТабCЕС[[#This Row],[Зелений Тариф ЕЦ]]*ТабCЕС[[#This Row],[% надбавки]],4)</f>
        <v>0.15029999999999999</v>
      </c>
      <c r="T847" s="8"/>
    </row>
    <row r="848" spans="3:20">
      <c r="C848" t="s">
        <v>58</v>
      </c>
      <c r="D848" t="s">
        <v>384</v>
      </c>
      <c r="F848" s="1" t="s">
        <v>2391</v>
      </c>
      <c r="H848" t="s">
        <v>198</v>
      </c>
      <c r="K848" t="s">
        <v>2392</v>
      </c>
      <c r="L848" s="7">
        <v>0.26100000000000001</v>
      </c>
      <c r="M848" s="8">
        <v>43823</v>
      </c>
      <c r="N848">
        <v>12</v>
      </c>
      <c r="O848" t="s">
        <v>71</v>
      </c>
      <c r="P848">
        <v>2019</v>
      </c>
      <c r="Q848">
        <v>0.15029999999999999</v>
      </c>
      <c r="R848" s="10"/>
      <c r="S848">
        <f>ROUND(ТабCЕС[[#This Row],[Зелений Тариф ЕЦ]]+ТабCЕС[[#This Row],[Зелений Тариф ЕЦ]]*ТабCЕС[[#This Row],[% надбавки]],4)</f>
        <v>0.15029999999999999</v>
      </c>
      <c r="T848" s="8"/>
    </row>
    <row r="849" spans="3:20">
      <c r="C849" t="s">
        <v>58</v>
      </c>
      <c r="D849" t="s">
        <v>384</v>
      </c>
      <c r="F849" s="1" t="s">
        <v>2393</v>
      </c>
      <c r="H849" t="s">
        <v>65</v>
      </c>
      <c r="K849" t="s">
        <v>2394</v>
      </c>
      <c r="L849" s="7">
        <v>1.2669999999999999</v>
      </c>
      <c r="M849" s="8">
        <v>43823</v>
      </c>
      <c r="N849">
        <v>12</v>
      </c>
      <c r="O849" t="s">
        <v>71</v>
      </c>
      <c r="P849">
        <v>2019</v>
      </c>
      <c r="Q849">
        <v>0.16370000000000001</v>
      </c>
      <c r="R849" s="10"/>
      <c r="S849">
        <f>ROUND(ТабCЕС[[#This Row],[Зелений Тариф ЕЦ]]+ТабCЕС[[#This Row],[Зелений Тариф ЕЦ]]*ТабCЕС[[#This Row],[% надбавки]],4)</f>
        <v>0.16370000000000001</v>
      </c>
      <c r="T849" s="8"/>
    </row>
    <row r="850" spans="3:20">
      <c r="C850" t="s">
        <v>58</v>
      </c>
      <c r="D850" t="s">
        <v>384</v>
      </c>
      <c r="F850" s="1" t="s">
        <v>2395</v>
      </c>
      <c r="H850" t="s">
        <v>233</v>
      </c>
      <c r="K850" t="s">
        <v>2396</v>
      </c>
      <c r="L850" s="7">
        <v>0.88900000000000001</v>
      </c>
      <c r="M850" s="8">
        <v>43823</v>
      </c>
      <c r="N850">
        <v>12</v>
      </c>
      <c r="O850" t="s">
        <v>71</v>
      </c>
      <c r="P850">
        <v>2019</v>
      </c>
      <c r="Q850">
        <v>0.16370000000000001</v>
      </c>
      <c r="R850" s="10"/>
      <c r="S850">
        <f>ROUND(ТабCЕС[[#This Row],[Зелений Тариф ЕЦ]]+ТабCЕС[[#This Row],[Зелений Тариф ЕЦ]]*ТабCЕС[[#This Row],[% надбавки]],4)</f>
        <v>0.16370000000000001</v>
      </c>
      <c r="T850" s="8"/>
    </row>
    <row r="851" spans="3:20">
      <c r="C851" t="s">
        <v>58</v>
      </c>
      <c r="D851" t="s">
        <v>384</v>
      </c>
      <c r="F851" s="1" t="s">
        <v>2397</v>
      </c>
      <c r="H851" t="s">
        <v>172</v>
      </c>
      <c r="K851" t="s">
        <v>2398</v>
      </c>
      <c r="L851" s="7">
        <v>0.161</v>
      </c>
      <c r="M851" s="8">
        <v>43823</v>
      </c>
      <c r="N851">
        <v>12</v>
      </c>
      <c r="O851" t="s">
        <v>71</v>
      </c>
      <c r="P851">
        <v>2019</v>
      </c>
      <c r="Q851">
        <v>0.16370000000000001</v>
      </c>
      <c r="R851" s="10"/>
      <c r="S851">
        <f>ROUND(ТабCЕС[[#This Row],[Зелений Тариф ЕЦ]]+ТабCЕС[[#This Row],[Зелений Тариф ЕЦ]]*ТабCЕС[[#This Row],[% надбавки]],4)</f>
        <v>0.16370000000000001</v>
      </c>
      <c r="T851" s="8"/>
    </row>
    <row r="852" spans="3:20">
      <c r="C852" t="s">
        <v>58</v>
      </c>
      <c r="D852" t="s">
        <v>384</v>
      </c>
      <c r="F852" s="1" t="s">
        <v>2399</v>
      </c>
      <c r="H852" t="s">
        <v>107</v>
      </c>
      <c r="K852" t="s">
        <v>2400</v>
      </c>
      <c r="L852" s="7">
        <v>2.7919999999999998</v>
      </c>
      <c r="M852" s="8">
        <v>43823</v>
      </c>
      <c r="N852">
        <v>12</v>
      </c>
      <c r="O852" t="s">
        <v>71</v>
      </c>
      <c r="P852">
        <v>2019</v>
      </c>
      <c r="Q852">
        <v>0.16370000000000001</v>
      </c>
      <c r="R852" s="10"/>
      <c r="S852">
        <f>ROUND(ТабCЕС[[#This Row],[Зелений Тариф ЕЦ]]+ТабCЕС[[#This Row],[Зелений Тариф ЕЦ]]*ТабCЕС[[#This Row],[% надбавки]],4)</f>
        <v>0.16370000000000001</v>
      </c>
      <c r="T852" s="8"/>
    </row>
    <row r="853" spans="3:20">
      <c r="C853" t="s">
        <v>58</v>
      </c>
      <c r="D853" t="s">
        <v>384</v>
      </c>
      <c r="F853" s="1" t="s">
        <v>2401</v>
      </c>
      <c r="H853" t="s">
        <v>101</v>
      </c>
      <c r="K853" t="s">
        <v>2402</v>
      </c>
      <c r="L853" s="7">
        <v>17.728000000000002</v>
      </c>
      <c r="M853" s="8">
        <v>43833</v>
      </c>
      <c r="N853">
        <v>1</v>
      </c>
      <c r="O853" t="s">
        <v>67</v>
      </c>
      <c r="P853">
        <v>2020</v>
      </c>
      <c r="Q853">
        <v>0.15029999999999999</v>
      </c>
      <c r="R853" s="10"/>
      <c r="S853">
        <f>ROUND(ТабCЕС[[#This Row],[Зелений Тариф ЕЦ]]+ТабCЕС[[#This Row],[Зелений Тариф ЕЦ]]*ТабCЕС[[#This Row],[% надбавки]],4)</f>
        <v>0.15029999999999999</v>
      </c>
      <c r="T853" s="8"/>
    </row>
    <row r="854" spans="3:20">
      <c r="C854" t="s">
        <v>58</v>
      </c>
      <c r="D854" t="s">
        <v>384</v>
      </c>
      <c r="F854" s="1" t="s">
        <v>2403</v>
      </c>
      <c r="H854" t="s">
        <v>101</v>
      </c>
      <c r="K854" t="s">
        <v>2404</v>
      </c>
      <c r="L854" s="7">
        <v>12.156000000000001</v>
      </c>
      <c r="M854" s="8">
        <v>43833</v>
      </c>
      <c r="N854">
        <v>1</v>
      </c>
      <c r="O854" t="s">
        <v>67</v>
      </c>
      <c r="P854">
        <v>2020</v>
      </c>
      <c r="Q854">
        <v>0.15029999999999999</v>
      </c>
      <c r="R854" s="10"/>
      <c r="S854">
        <f>ROUND(ТабCЕС[[#This Row],[Зелений Тариф ЕЦ]]+ТабCЕС[[#This Row],[Зелений Тариф ЕЦ]]*ТабCЕС[[#This Row],[% надбавки]],4)</f>
        <v>0.15029999999999999</v>
      </c>
      <c r="T854" s="8"/>
    </row>
    <row r="855" spans="3:20">
      <c r="C855" t="s">
        <v>58</v>
      </c>
      <c r="D855" t="s">
        <v>384</v>
      </c>
      <c r="F855" s="1" t="s">
        <v>2405</v>
      </c>
      <c r="H855" t="s">
        <v>101</v>
      </c>
      <c r="K855" t="s">
        <v>2406</v>
      </c>
      <c r="L855" s="7">
        <v>12.156000000000001</v>
      </c>
      <c r="M855" s="8">
        <v>43833</v>
      </c>
      <c r="N855">
        <v>1</v>
      </c>
      <c r="O855" t="s">
        <v>67</v>
      </c>
      <c r="P855">
        <v>2020</v>
      </c>
      <c r="Q855">
        <v>0.15029999999999999</v>
      </c>
      <c r="R855" s="10"/>
      <c r="S855">
        <f>ROUND(ТабCЕС[[#This Row],[Зелений Тариф ЕЦ]]+ТабCЕС[[#This Row],[Зелений Тариф ЕЦ]]*ТабCЕС[[#This Row],[% надбавки]],4)</f>
        <v>0.15029999999999999</v>
      </c>
      <c r="T855" s="8"/>
    </row>
    <row r="856" spans="3:20">
      <c r="C856" t="s">
        <v>58</v>
      </c>
      <c r="D856" t="s">
        <v>384</v>
      </c>
      <c r="F856" s="1" t="s">
        <v>2407</v>
      </c>
      <c r="H856" t="s">
        <v>82</v>
      </c>
      <c r="K856" t="s">
        <v>2408</v>
      </c>
      <c r="L856" s="7">
        <v>32.835999999999999</v>
      </c>
      <c r="M856" s="8">
        <v>43833</v>
      </c>
      <c r="N856">
        <v>1</v>
      </c>
      <c r="O856" t="s">
        <v>67</v>
      </c>
      <c r="P856">
        <v>2020</v>
      </c>
      <c r="Q856">
        <v>0.15029999999999999</v>
      </c>
      <c r="R856" s="10"/>
      <c r="S856">
        <f>ROUND(ТабCЕС[[#This Row],[Зелений Тариф ЕЦ]]+ТабCЕС[[#This Row],[Зелений Тариф ЕЦ]]*ТабCЕС[[#This Row],[% надбавки]],4)</f>
        <v>0.15029999999999999</v>
      </c>
      <c r="T856" s="8"/>
    </row>
    <row r="857" spans="3:20">
      <c r="C857" t="s">
        <v>58</v>
      </c>
      <c r="D857" t="s">
        <v>384</v>
      </c>
      <c r="F857" s="1" t="s">
        <v>2409</v>
      </c>
      <c r="H857" t="s">
        <v>82</v>
      </c>
      <c r="K857" t="s">
        <v>2410</v>
      </c>
      <c r="L857" s="7">
        <v>24.716000000000001</v>
      </c>
      <c r="M857" s="8">
        <v>43833</v>
      </c>
      <c r="N857">
        <v>1</v>
      </c>
      <c r="O857" t="s">
        <v>67</v>
      </c>
      <c r="P857">
        <v>2020</v>
      </c>
      <c r="Q857">
        <v>0.15029999999999999</v>
      </c>
      <c r="R857" s="10"/>
      <c r="S857">
        <f>ROUND(ТабCЕС[[#This Row],[Зелений Тариф ЕЦ]]+ТабCЕС[[#This Row],[Зелений Тариф ЕЦ]]*ТабCЕС[[#This Row],[% надбавки]],4)</f>
        <v>0.15029999999999999</v>
      </c>
      <c r="T857" s="8"/>
    </row>
    <row r="858" spans="3:20">
      <c r="C858" t="s">
        <v>58</v>
      </c>
      <c r="D858" t="s">
        <v>384</v>
      </c>
      <c r="F858" s="1" t="s">
        <v>2411</v>
      </c>
      <c r="H858" t="s">
        <v>176</v>
      </c>
      <c r="K858" t="s">
        <v>2412</v>
      </c>
      <c r="L858" s="7">
        <v>11.051</v>
      </c>
      <c r="M858" s="8">
        <v>43833</v>
      </c>
      <c r="N858">
        <v>1</v>
      </c>
      <c r="O858" t="s">
        <v>67</v>
      </c>
      <c r="P858">
        <v>2020</v>
      </c>
      <c r="Q858">
        <v>0.15029999999999999</v>
      </c>
      <c r="R858" s="10"/>
      <c r="S858">
        <f>ROUND(ТабCЕС[[#This Row],[Зелений Тариф ЕЦ]]+ТабCЕС[[#This Row],[Зелений Тариф ЕЦ]]*ТабCЕС[[#This Row],[% надбавки]],4)</f>
        <v>0.15029999999999999</v>
      </c>
      <c r="T858" s="8"/>
    </row>
    <row r="859" spans="3:20">
      <c r="C859" t="s">
        <v>58</v>
      </c>
      <c r="D859" t="s">
        <v>384</v>
      </c>
      <c r="F859" s="1" t="s">
        <v>2413</v>
      </c>
      <c r="H859" t="s">
        <v>73</v>
      </c>
      <c r="K859" t="s">
        <v>2414</v>
      </c>
      <c r="L859" s="7">
        <v>5.907</v>
      </c>
      <c r="M859" s="8">
        <v>43833</v>
      </c>
      <c r="N859">
        <v>1</v>
      </c>
      <c r="O859" t="s">
        <v>67</v>
      </c>
      <c r="P859">
        <v>2020</v>
      </c>
      <c r="Q859">
        <v>0.15029999999999999</v>
      </c>
      <c r="R859" s="10"/>
      <c r="S859">
        <f>ROUND(ТабCЕС[[#This Row],[Зелений Тариф ЕЦ]]+ТабCЕС[[#This Row],[Зелений Тариф ЕЦ]]*ТабCЕС[[#This Row],[% надбавки]],4)</f>
        <v>0.15029999999999999</v>
      </c>
      <c r="T859" s="8"/>
    </row>
    <row r="860" spans="3:20">
      <c r="C860" t="s">
        <v>58</v>
      </c>
      <c r="D860" t="s">
        <v>384</v>
      </c>
      <c r="F860" s="1" t="s">
        <v>2415</v>
      </c>
      <c r="H860" t="s">
        <v>176</v>
      </c>
      <c r="K860" t="s">
        <v>2416</v>
      </c>
      <c r="L860" s="7">
        <v>4.0750000000000002</v>
      </c>
      <c r="M860" s="8">
        <v>43833</v>
      </c>
      <c r="N860">
        <v>1</v>
      </c>
      <c r="O860" t="s">
        <v>67</v>
      </c>
      <c r="P860">
        <v>2020</v>
      </c>
      <c r="Q860">
        <v>0.15029999999999999</v>
      </c>
      <c r="R860" s="10"/>
      <c r="S860">
        <f>ROUND(ТабCЕС[[#This Row],[Зелений Тариф ЕЦ]]+ТабCЕС[[#This Row],[Зелений Тариф ЕЦ]]*ТабCЕС[[#This Row],[% надбавки]],4)</f>
        <v>0.15029999999999999</v>
      </c>
      <c r="T860" s="8"/>
    </row>
    <row r="861" spans="3:20">
      <c r="C861" t="s">
        <v>58</v>
      </c>
      <c r="D861" t="s">
        <v>384</v>
      </c>
      <c r="F861" s="1" t="s">
        <v>2417</v>
      </c>
      <c r="H861" t="s">
        <v>122</v>
      </c>
      <c r="K861" t="s">
        <v>2418</v>
      </c>
      <c r="L861" s="7">
        <v>6.54</v>
      </c>
      <c r="M861" s="8">
        <v>43833</v>
      </c>
      <c r="N861">
        <v>1</v>
      </c>
      <c r="O861" t="s">
        <v>67</v>
      </c>
      <c r="P861">
        <v>2020</v>
      </c>
      <c r="Q861">
        <v>0.15029999999999999</v>
      </c>
      <c r="R861" s="10"/>
      <c r="S861">
        <f>ROUND(ТабCЕС[[#This Row],[Зелений Тариф ЕЦ]]+ТабCЕС[[#This Row],[Зелений Тариф ЕЦ]]*ТабCЕС[[#This Row],[% надбавки]],4)</f>
        <v>0.15029999999999999</v>
      </c>
      <c r="T861" s="8"/>
    </row>
    <row r="862" spans="3:20">
      <c r="C862" t="s">
        <v>58</v>
      </c>
      <c r="D862" t="s">
        <v>384</v>
      </c>
      <c r="F862" s="1" t="s">
        <v>2419</v>
      </c>
      <c r="H862" t="s">
        <v>233</v>
      </c>
      <c r="K862" t="s">
        <v>2420</v>
      </c>
      <c r="L862" s="7">
        <v>4.657</v>
      </c>
      <c r="M862" s="8">
        <v>43833</v>
      </c>
      <c r="N862">
        <v>1</v>
      </c>
      <c r="O862" t="s">
        <v>67</v>
      </c>
      <c r="P862">
        <v>2020</v>
      </c>
      <c r="Q862">
        <v>0.15029999999999999</v>
      </c>
      <c r="R862" s="10"/>
      <c r="S862">
        <f>ROUND(ТабCЕС[[#This Row],[Зелений Тариф ЕЦ]]+ТабCЕС[[#This Row],[Зелений Тариф ЕЦ]]*ТабCЕС[[#This Row],[% надбавки]],4)</f>
        <v>0.15029999999999999</v>
      </c>
      <c r="T862" s="8"/>
    </row>
    <row r="863" spans="3:20">
      <c r="C863" t="s">
        <v>58</v>
      </c>
      <c r="D863" t="s">
        <v>384</v>
      </c>
      <c r="F863" s="1" t="s">
        <v>2421</v>
      </c>
      <c r="H863" t="s">
        <v>141</v>
      </c>
      <c r="K863" t="s">
        <v>2422</v>
      </c>
      <c r="L863" s="7">
        <v>1.167</v>
      </c>
      <c r="M863" s="8">
        <v>43833</v>
      </c>
      <c r="N863">
        <v>1</v>
      </c>
      <c r="O863" t="s">
        <v>67</v>
      </c>
      <c r="P863">
        <v>2020</v>
      </c>
      <c r="Q863">
        <v>0.16370000000000001</v>
      </c>
      <c r="R863" s="10"/>
      <c r="S863">
        <f>ROUND(ТабCЕС[[#This Row],[Зелений Тариф ЕЦ]]+ТабCЕС[[#This Row],[Зелений Тариф ЕЦ]]*ТабCЕС[[#This Row],[% надбавки]],4)</f>
        <v>0.16370000000000001</v>
      </c>
      <c r="T863" s="8"/>
    </row>
    <row r="864" spans="3:20">
      <c r="C864" t="s">
        <v>58</v>
      </c>
      <c r="D864" t="s">
        <v>384</v>
      </c>
      <c r="F864" s="1" t="s">
        <v>1800</v>
      </c>
      <c r="H864" t="s">
        <v>176</v>
      </c>
      <c r="K864" t="s">
        <v>2423</v>
      </c>
      <c r="L864" s="7">
        <v>17.97</v>
      </c>
      <c r="M864" s="8">
        <v>43833</v>
      </c>
      <c r="N864">
        <v>1</v>
      </c>
      <c r="O864" t="s">
        <v>67</v>
      </c>
      <c r="P864">
        <v>2020</v>
      </c>
      <c r="Q864">
        <v>0.15029999999999999</v>
      </c>
      <c r="R864" s="10"/>
      <c r="S864">
        <f>ROUND(ТабCЕС[[#This Row],[Зелений Тариф ЕЦ]]+ТабCЕС[[#This Row],[Зелений Тариф ЕЦ]]*ТабCЕС[[#This Row],[% надбавки]],4)</f>
        <v>0.15029999999999999</v>
      </c>
      <c r="T864" s="8"/>
    </row>
    <row r="865" spans="3:20">
      <c r="C865" t="s">
        <v>58</v>
      </c>
      <c r="D865" t="s">
        <v>384</v>
      </c>
      <c r="F865" s="1" t="s">
        <v>1724</v>
      </c>
      <c r="H865" t="s">
        <v>98</v>
      </c>
      <c r="K865" t="s">
        <v>2424</v>
      </c>
      <c r="L865" s="7">
        <v>0.629</v>
      </c>
      <c r="M865" s="8">
        <v>43833</v>
      </c>
      <c r="N865">
        <v>1</v>
      </c>
      <c r="O865" t="s">
        <v>67</v>
      </c>
      <c r="P865">
        <v>2020</v>
      </c>
      <c r="Q865">
        <v>0.16370000000000001</v>
      </c>
      <c r="R865" s="10"/>
      <c r="S865">
        <f>ROUND(ТабCЕС[[#This Row],[Зелений Тариф ЕЦ]]+ТабCЕС[[#This Row],[Зелений Тариф ЕЦ]]*ТабCЕС[[#This Row],[% надбавки]],4)</f>
        <v>0.16370000000000001</v>
      </c>
      <c r="T865" s="8"/>
    </row>
    <row r="866" spans="3:20">
      <c r="C866" t="s">
        <v>58</v>
      </c>
      <c r="D866" t="s">
        <v>384</v>
      </c>
      <c r="F866" s="1" t="s">
        <v>2074</v>
      </c>
      <c r="H866" t="s">
        <v>73</v>
      </c>
      <c r="K866" t="s">
        <v>2425</v>
      </c>
      <c r="L866" s="7">
        <v>0.20499999999999999</v>
      </c>
      <c r="M866" s="8">
        <v>43833</v>
      </c>
      <c r="N866">
        <v>1</v>
      </c>
      <c r="O866" t="s">
        <v>67</v>
      </c>
      <c r="P866">
        <v>2020</v>
      </c>
      <c r="Q866">
        <v>0.16370000000000001</v>
      </c>
      <c r="R866" s="10"/>
      <c r="S866">
        <f>ROUND(ТабCЕС[[#This Row],[Зелений Тариф ЕЦ]]+ТабCЕС[[#This Row],[Зелений Тариф ЕЦ]]*ТабCЕС[[#This Row],[% надбавки]],4)</f>
        <v>0.16370000000000001</v>
      </c>
      <c r="T866" s="8"/>
    </row>
    <row r="867" spans="3:20">
      <c r="C867" t="s">
        <v>58</v>
      </c>
      <c r="D867" t="s">
        <v>384</v>
      </c>
      <c r="F867" s="1" t="s">
        <v>2426</v>
      </c>
      <c r="H867" t="s">
        <v>198</v>
      </c>
      <c r="K867" t="s">
        <v>2427</v>
      </c>
      <c r="L867" s="7">
        <v>0.82799999999999996</v>
      </c>
      <c r="M867" s="8">
        <v>43833</v>
      </c>
      <c r="N867">
        <v>1</v>
      </c>
      <c r="O867" t="s">
        <v>67</v>
      </c>
      <c r="P867">
        <v>2020</v>
      </c>
      <c r="Q867">
        <v>0.15029999999999999</v>
      </c>
      <c r="R867" s="10"/>
      <c r="S867">
        <f>ROUND(ТабCЕС[[#This Row],[Зелений Тариф ЕЦ]]+ТабCЕС[[#This Row],[Зелений Тариф ЕЦ]]*ТабCЕС[[#This Row],[% надбавки]],4)</f>
        <v>0.15029999999999999</v>
      </c>
      <c r="T867" s="8"/>
    </row>
    <row r="868" spans="3:20">
      <c r="C868" t="s">
        <v>58</v>
      </c>
      <c r="D868" t="s">
        <v>384</v>
      </c>
      <c r="F868" s="1" t="s">
        <v>2428</v>
      </c>
      <c r="H868" t="s">
        <v>82</v>
      </c>
      <c r="K868" t="s">
        <v>2429</v>
      </c>
      <c r="L868" s="7">
        <v>17.855</v>
      </c>
      <c r="M868" s="8">
        <v>43844</v>
      </c>
      <c r="N868">
        <v>1</v>
      </c>
      <c r="O868" t="s">
        <v>67</v>
      </c>
      <c r="P868">
        <v>2020</v>
      </c>
      <c r="Q868">
        <v>0.15029999999999999</v>
      </c>
      <c r="R868" s="10"/>
      <c r="S868">
        <f>ROUND(ТабCЕС[[#This Row],[Зелений Тариф ЕЦ]]+ТабCЕС[[#This Row],[Зелений Тариф ЕЦ]]*ТабCЕС[[#This Row],[% надбавки]],4)</f>
        <v>0.15029999999999999</v>
      </c>
      <c r="T868" s="8"/>
    </row>
    <row r="869" spans="3:20">
      <c r="C869" t="s">
        <v>58</v>
      </c>
      <c r="D869" t="s">
        <v>384</v>
      </c>
      <c r="F869" s="1" t="s">
        <v>2430</v>
      </c>
      <c r="H869" t="s">
        <v>233</v>
      </c>
      <c r="K869" t="s">
        <v>2431</v>
      </c>
      <c r="L869" s="7">
        <v>0.97299999999999998</v>
      </c>
      <c r="M869" s="8">
        <v>43844</v>
      </c>
      <c r="N869">
        <v>1</v>
      </c>
      <c r="O869" t="s">
        <v>67</v>
      </c>
      <c r="P869">
        <v>2020</v>
      </c>
      <c r="Q869">
        <v>0.15029999999999999</v>
      </c>
      <c r="R869" s="10"/>
      <c r="S869">
        <f>ROUND(ТабCЕС[[#This Row],[Зелений Тариф ЕЦ]]+ТабCЕС[[#This Row],[Зелений Тариф ЕЦ]]*ТабCЕС[[#This Row],[% надбавки]],4)</f>
        <v>0.15029999999999999</v>
      </c>
      <c r="T869" s="8"/>
    </row>
    <row r="870" spans="3:20">
      <c r="C870" t="s">
        <v>58</v>
      </c>
      <c r="D870" t="s">
        <v>384</v>
      </c>
      <c r="F870" s="1" t="s">
        <v>2432</v>
      </c>
      <c r="H870" t="s">
        <v>233</v>
      </c>
      <c r="K870" t="s">
        <v>2433</v>
      </c>
      <c r="L870" s="7">
        <v>0.97299999999999998</v>
      </c>
      <c r="M870" s="8">
        <v>43844</v>
      </c>
      <c r="N870">
        <v>1</v>
      </c>
      <c r="O870" t="s">
        <v>67</v>
      </c>
      <c r="P870">
        <v>2020</v>
      </c>
      <c r="Q870">
        <v>0.15029999999999999</v>
      </c>
      <c r="R870" s="10"/>
      <c r="S870">
        <f>ROUND(ТабCЕС[[#This Row],[Зелений Тариф ЕЦ]]+ТабCЕС[[#This Row],[Зелений Тариф ЕЦ]]*ТабCЕС[[#This Row],[% надбавки]],4)</f>
        <v>0.15029999999999999</v>
      </c>
      <c r="T870" s="8"/>
    </row>
    <row r="871" spans="3:20">
      <c r="C871" t="s">
        <v>58</v>
      </c>
      <c r="D871" t="s">
        <v>384</v>
      </c>
      <c r="F871" s="1" t="s">
        <v>2434</v>
      </c>
      <c r="H871" t="s">
        <v>107</v>
      </c>
      <c r="K871" t="s">
        <v>2435</v>
      </c>
      <c r="L871" s="7">
        <v>1.8859999999999999</v>
      </c>
      <c r="M871" s="8">
        <v>43844</v>
      </c>
      <c r="N871">
        <v>1</v>
      </c>
      <c r="O871" t="s">
        <v>67</v>
      </c>
      <c r="P871">
        <v>2020</v>
      </c>
      <c r="Q871">
        <v>0.15029999999999999</v>
      </c>
      <c r="R871" s="10"/>
      <c r="S871">
        <f>ROUND(ТабCЕС[[#This Row],[Зелений Тариф ЕЦ]]+ТабCЕС[[#This Row],[Зелений Тариф ЕЦ]]*ТабCЕС[[#This Row],[% надбавки]],4)</f>
        <v>0.15029999999999999</v>
      </c>
      <c r="T871" s="8"/>
    </row>
    <row r="872" spans="3:20">
      <c r="C872" t="s">
        <v>58</v>
      </c>
      <c r="D872" t="s">
        <v>384</v>
      </c>
      <c r="F872" s="1" t="s">
        <v>2436</v>
      </c>
      <c r="H872" t="s">
        <v>82</v>
      </c>
      <c r="K872" t="s">
        <v>2437</v>
      </c>
      <c r="L872" s="7">
        <v>1.1299999999999999</v>
      </c>
      <c r="M872" s="8">
        <v>43844</v>
      </c>
      <c r="N872">
        <v>1</v>
      </c>
      <c r="O872" t="s">
        <v>67</v>
      </c>
      <c r="P872">
        <v>2020</v>
      </c>
      <c r="Q872">
        <v>0.15029999999999999</v>
      </c>
      <c r="R872" s="10"/>
      <c r="S872">
        <f>ROUND(ТабCЕС[[#This Row],[Зелений Тариф ЕЦ]]+ТабCЕС[[#This Row],[Зелений Тариф ЕЦ]]*ТабCЕС[[#This Row],[% надбавки]],4)</f>
        <v>0.15029999999999999</v>
      </c>
      <c r="T872" s="8"/>
    </row>
    <row r="873" spans="3:20">
      <c r="C873" t="s">
        <v>58</v>
      </c>
      <c r="D873" t="s">
        <v>384</v>
      </c>
      <c r="F873" s="1" t="s">
        <v>2438</v>
      </c>
      <c r="H873" t="s">
        <v>122</v>
      </c>
      <c r="K873" t="s">
        <v>2439</v>
      </c>
      <c r="L873" s="7">
        <v>0.497</v>
      </c>
      <c r="M873" s="8">
        <v>43844</v>
      </c>
      <c r="N873">
        <v>1</v>
      </c>
      <c r="O873" t="s">
        <v>67</v>
      </c>
      <c r="P873">
        <v>2020</v>
      </c>
      <c r="Q873">
        <v>0.15029999999999999</v>
      </c>
      <c r="R873" s="10"/>
      <c r="S873">
        <f>ROUND(ТабCЕС[[#This Row],[Зелений Тариф ЕЦ]]+ТабCЕС[[#This Row],[Зелений Тариф ЕЦ]]*ТабCЕС[[#This Row],[% надбавки]],4)</f>
        <v>0.15029999999999999</v>
      </c>
      <c r="T873" s="8"/>
    </row>
    <row r="874" spans="3:20">
      <c r="C874" t="s">
        <v>58</v>
      </c>
      <c r="D874" t="s">
        <v>384</v>
      </c>
      <c r="F874" s="1" t="s">
        <v>2440</v>
      </c>
      <c r="H874" t="s">
        <v>172</v>
      </c>
      <c r="K874" t="s">
        <v>2441</v>
      </c>
      <c r="L874" s="7">
        <v>2.6859999999999999</v>
      </c>
      <c r="M874" s="8">
        <v>43844</v>
      </c>
      <c r="N874">
        <v>1</v>
      </c>
      <c r="O874" t="s">
        <v>67</v>
      </c>
      <c r="P874">
        <v>2020</v>
      </c>
      <c r="Q874">
        <v>0.15029999999999999</v>
      </c>
      <c r="R874" s="10"/>
      <c r="S874">
        <f>ROUND(ТабCЕС[[#This Row],[Зелений Тариф ЕЦ]]+ТабCЕС[[#This Row],[Зелений Тариф ЕЦ]]*ТабCЕС[[#This Row],[% надбавки]],4)</f>
        <v>0.15029999999999999</v>
      </c>
      <c r="T874" s="8"/>
    </row>
    <row r="875" spans="3:20">
      <c r="C875" t="s">
        <v>58</v>
      </c>
      <c r="D875" t="s">
        <v>384</v>
      </c>
      <c r="F875" s="1" t="s">
        <v>2442</v>
      </c>
      <c r="H875" t="s">
        <v>62</v>
      </c>
      <c r="K875" t="s">
        <v>2443</v>
      </c>
      <c r="L875" s="7">
        <v>5.94</v>
      </c>
      <c r="M875" s="8">
        <v>43844</v>
      </c>
      <c r="N875">
        <v>1</v>
      </c>
      <c r="O875" t="s">
        <v>67</v>
      </c>
      <c r="P875">
        <v>2020</v>
      </c>
      <c r="Q875">
        <v>0.15029999999999999</v>
      </c>
      <c r="R875" s="10"/>
      <c r="S875">
        <f>ROUND(ТабCЕС[[#This Row],[Зелений Тариф ЕЦ]]+ТабCЕС[[#This Row],[Зелений Тариф ЕЦ]]*ТабCЕС[[#This Row],[% надбавки]],4)</f>
        <v>0.15029999999999999</v>
      </c>
      <c r="T875" s="8"/>
    </row>
    <row r="876" spans="3:20">
      <c r="C876" t="s">
        <v>58</v>
      </c>
      <c r="D876" t="s">
        <v>384</v>
      </c>
      <c r="F876" s="1" t="s">
        <v>2444</v>
      </c>
      <c r="H876" t="s">
        <v>101</v>
      </c>
      <c r="K876" t="s">
        <v>2445</v>
      </c>
      <c r="L876" s="7">
        <v>5.4</v>
      </c>
      <c r="M876" s="8">
        <v>43844</v>
      </c>
      <c r="N876">
        <v>1</v>
      </c>
      <c r="O876" t="s">
        <v>67</v>
      </c>
      <c r="P876">
        <v>2020</v>
      </c>
      <c r="Q876">
        <v>0.15029999999999999</v>
      </c>
      <c r="R876" s="10"/>
      <c r="S876">
        <f>ROUND(ТабCЕС[[#This Row],[Зелений Тариф ЕЦ]]+ТабCЕС[[#This Row],[Зелений Тариф ЕЦ]]*ТабCЕС[[#This Row],[% надбавки]],4)</f>
        <v>0.15029999999999999</v>
      </c>
      <c r="T876" s="8"/>
    </row>
    <row r="877" spans="3:20">
      <c r="C877" t="s">
        <v>58</v>
      </c>
      <c r="D877" t="s">
        <v>384</v>
      </c>
      <c r="F877" s="1" t="s">
        <v>2446</v>
      </c>
      <c r="H877" t="s">
        <v>198</v>
      </c>
      <c r="K877" t="s">
        <v>2447</v>
      </c>
      <c r="L877" s="7">
        <v>1.0009999999999999</v>
      </c>
      <c r="M877" s="8">
        <v>43844</v>
      </c>
      <c r="N877">
        <v>1</v>
      </c>
      <c r="O877" t="s">
        <v>67</v>
      </c>
      <c r="P877">
        <v>2020</v>
      </c>
      <c r="Q877">
        <v>0.15029999999999999</v>
      </c>
      <c r="R877" s="10"/>
      <c r="S877">
        <f>ROUND(ТабCЕС[[#This Row],[Зелений Тариф ЕЦ]]+ТабCЕС[[#This Row],[Зелений Тариф ЕЦ]]*ТабCЕС[[#This Row],[% надбавки]],4)</f>
        <v>0.15029999999999999</v>
      </c>
      <c r="T877" s="8"/>
    </row>
    <row r="878" spans="3:20">
      <c r="C878" t="s">
        <v>58</v>
      </c>
      <c r="D878" t="s">
        <v>384</v>
      </c>
      <c r="F878" s="1" t="s">
        <v>2448</v>
      </c>
      <c r="H878" t="s">
        <v>233</v>
      </c>
      <c r="K878" t="s">
        <v>2449</v>
      </c>
      <c r="L878" s="7">
        <v>5.5439999999999996</v>
      </c>
      <c r="M878" s="8">
        <v>43844</v>
      </c>
      <c r="N878">
        <v>1</v>
      </c>
      <c r="O878" t="s">
        <v>67</v>
      </c>
      <c r="P878">
        <v>2020</v>
      </c>
      <c r="Q878">
        <v>0.15029999999999999</v>
      </c>
      <c r="R878" s="10"/>
      <c r="S878">
        <f>ROUND(ТабCЕС[[#This Row],[Зелений Тариф ЕЦ]]+ТабCЕС[[#This Row],[Зелений Тариф ЕЦ]]*ТабCЕС[[#This Row],[% надбавки]],4)</f>
        <v>0.15029999999999999</v>
      </c>
      <c r="T878" s="8"/>
    </row>
    <row r="879" spans="3:20">
      <c r="C879" t="s">
        <v>58</v>
      </c>
      <c r="D879" t="s">
        <v>384</v>
      </c>
      <c r="F879" s="1" t="s">
        <v>2450</v>
      </c>
      <c r="H879" t="s">
        <v>69</v>
      </c>
      <c r="K879" t="s">
        <v>2451</v>
      </c>
      <c r="L879" s="7">
        <v>0.19800000000000001</v>
      </c>
      <c r="M879" s="8">
        <v>43844</v>
      </c>
      <c r="N879">
        <v>1</v>
      </c>
      <c r="O879" t="s">
        <v>67</v>
      </c>
      <c r="P879">
        <v>2020</v>
      </c>
      <c r="Q879">
        <v>0.16370000000000001</v>
      </c>
      <c r="R879" s="10"/>
      <c r="S879">
        <f>ROUND(ТабCЕС[[#This Row],[Зелений Тариф ЕЦ]]+ТабCЕС[[#This Row],[Зелений Тариф ЕЦ]]*ТабCЕС[[#This Row],[% надбавки]],4)</f>
        <v>0.16370000000000001</v>
      </c>
      <c r="T879" s="8"/>
    </row>
    <row r="880" spans="3:20">
      <c r="C880" t="s">
        <v>58</v>
      </c>
      <c r="D880" t="s">
        <v>384</v>
      </c>
      <c r="F880" s="1" t="s">
        <v>2452</v>
      </c>
      <c r="H880" t="s">
        <v>107</v>
      </c>
      <c r="K880" t="s">
        <v>2453</v>
      </c>
      <c r="L880" s="7">
        <v>0.15</v>
      </c>
      <c r="M880" s="8">
        <v>43844</v>
      </c>
      <c r="N880">
        <v>1</v>
      </c>
      <c r="O880" t="s">
        <v>67</v>
      </c>
      <c r="P880">
        <v>2020</v>
      </c>
      <c r="Q880">
        <v>0.16370000000000001</v>
      </c>
      <c r="R880" s="10"/>
      <c r="S880">
        <f>ROUND(ТабCЕС[[#This Row],[Зелений Тариф ЕЦ]]+ТабCЕС[[#This Row],[Зелений Тариф ЕЦ]]*ТабCЕС[[#This Row],[% надбавки]],4)</f>
        <v>0.16370000000000001</v>
      </c>
      <c r="T880" s="8"/>
    </row>
    <row r="881" spans="3:20">
      <c r="C881" t="s">
        <v>58</v>
      </c>
      <c r="D881" t="s">
        <v>384</v>
      </c>
      <c r="F881" s="1" t="s">
        <v>2454</v>
      </c>
      <c r="H881" t="s">
        <v>107</v>
      </c>
      <c r="K881" t="s">
        <v>2455</v>
      </c>
      <c r="L881" s="7">
        <v>0.30399999999999999</v>
      </c>
      <c r="M881" s="8">
        <v>43844</v>
      </c>
      <c r="N881">
        <v>1</v>
      </c>
      <c r="O881" t="s">
        <v>67</v>
      </c>
      <c r="P881">
        <v>2020</v>
      </c>
      <c r="Q881">
        <v>0.16370000000000001</v>
      </c>
      <c r="R881" s="10"/>
      <c r="S881">
        <f>ROUND(ТабCЕС[[#This Row],[Зелений Тариф ЕЦ]]+ТабCЕС[[#This Row],[Зелений Тариф ЕЦ]]*ТабCЕС[[#This Row],[% надбавки]],4)</f>
        <v>0.16370000000000001</v>
      </c>
      <c r="T881" s="8"/>
    </row>
    <row r="882" spans="3:20">
      <c r="C882" t="s">
        <v>58</v>
      </c>
      <c r="D882" t="s">
        <v>384</v>
      </c>
      <c r="F882" s="1" t="s">
        <v>2456</v>
      </c>
      <c r="H882" t="s">
        <v>136</v>
      </c>
      <c r="K882" t="s">
        <v>2457</v>
      </c>
      <c r="L882" s="7">
        <v>1.1599999999999999</v>
      </c>
      <c r="M882" s="8">
        <v>43844</v>
      </c>
      <c r="N882">
        <v>1</v>
      </c>
      <c r="O882" t="s">
        <v>67</v>
      </c>
      <c r="P882">
        <v>2020</v>
      </c>
      <c r="Q882">
        <v>0.16370000000000001</v>
      </c>
      <c r="R882" s="10"/>
      <c r="S882">
        <f>ROUND(ТабCЕС[[#This Row],[Зелений Тариф ЕЦ]]+ТабCЕС[[#This Row],[Зелений Тариф ЕЦ]]*ТабCЕС[[#This Row],[% надбавки]],4)</f>
        <v>0.16370000000000001</v>
      </c>
      <c r="T882" s="8"/>
    </row>
    <row r="883" spans="3:20">
      <c r="C883" t="s">
        <v>58</v>
      </c>
      <c r="D883" t="s">
        <v>384</v>
      </c>
      <c r="F883" s="1" t="s">
        <v>2458</v>
      </c>
      <c r="H883" t="s">
        <v>82</v>
      </c>
      <c r="K883" t="s">
        <v>2459</v>
      </c>
      <c r="L883" s="7">
        <v>0.379</v>
      </c>
      <c r="M883" s="8">
        <v>43844</v>
      </c>
      <c r="N883">
        <v>1</v>
      </c>
      <c r="O883" t="s">
        <v>67</v>
      </c>
      <c r="P883">
        <v>2020</v>
      </c>
      <c r="Q883">
        <v>0.16370000000000001</v>
      </c>
      <c r="R883" s="10"/>
      <c r="S883">
        <f>ROUND(ТабCЕС[[#This Row],[Зелений Тариф ЕЦ]]+ТабCЕС[[#This Row],[Зелений Тариф ЕЦ]]*ТабCЕС[[#This Row],[% надбавки]],4)</f>
        <v>0.16370000000000001</v>
      </c>
      <c r="T883" s="8"/>
    </row>
    <row r="884" spans="3:20">
      <c r="C884" t="s">
        <v>58</v>
      </c>
      <c r="D884" t="s">
        <v>384</v>
      </c>
      <c r="F884" s="1" t="s">
        <v>2460</v>
      </c>
      <c r="H884" t="s">
        <v>69</v>
      </c>
      <c r="K884" t="s">
        <v>2461</v>
      </c>
      <c r="L884" s="7">
        <v>0.183</v>
      </c>
      <c r="M884" s="8">
        <v>43844</v>
      </c>
      <c r="N884">
        <v>1</v>
      </c>
      <c r="O884" t="s">
        <v>67</v>
      </c>
      <c r="P884">
        <v>2020</v>
      </c>
      <c r="Q884">
        <v>0.16370000000000001</v>
      </c>
      <c r="R884" s="10"/>
      <c r="S884">
        <f>ROUND(ТабCЕС[[#This Row],[Зелений Тариф ЕЦ]]+ТабCЕС[[#This Row],[Зелений Тариф ЕЦ]]*ТабCЕС[[#This Row],[% надбавки]],4)</f>
        <v>0.16370000000000001</v>
      </c>
      <c r="T884" s="8"/>
    </row>
    <row r="885" spans="3:20">
      <c r="C885" t="s">
        <v>58</v>
      </c>
      <c r="D885" t="s">
        <v>384</v>
      </c>
      <c r="F885" s="1" t="s">
        <v>2462</v>
      </c>
      <c r="H885" t="s">
        <v>98</v>
      </c>
      <c r="K885" t="s">
        <v>2463</v>
      </c>
      <c r="L885" s="7">
        <v>0.27200000000000002</v>
      </c>
      <c r="M885" s="8">
        <v>43844</v>
      </c>
      <c r="N885">
        <v>1</v>
      </c>
      <c r="O885" t="s">
        <v>67</v>
      </c>
      <c r="P885">
        <v>2020</v>
      </c>
      <c r="Q885">
        <v>0.16370000000000001</v>
      </c>
      <c r="R885" s="10"/>
      <c r="S885">
        <f>ROUND(ТабCЕС[[#This Row],[Зелений Тариф ЕЦ]]+ТабCЕС[[#This Row],[Зелений Тариф ЕЦ]]*ТабCЕС[[#This Row],[% надбавки]],4)</f>
        <v>0.16370000000000001</v>
      </c>
      <c r="T885" s="8"/>
    </row>
    <row r="886" spans="3:20">
      <c r="C886" t="s">
        <v>58</v>
      </c>
      <c r="D886" t="s">
        <v>384</v>
      </c>
      <c r="F886" s="1" t="s">
        <v>2464</v>
      </c>
      <c r="H886" t="s">
        <v>122</v>
      </c>
      <c r="K886" t="s">
        <v>2465</v>
      </c>
      <c r="L886" s="7">
        <v>0.35099999999999998</v>
      </c>
      <c r="M886" s="8">
        <v>43844</v>
      </c>
      <c r="N886">
        <v>1</v>
      </c>
      <c r="O886" t="s">
        <v>67</v>
      </c>
      <c r="P886">
        <v>2020</v>
      </c>
      <c r="Q886">
        <v>0.16370000000000001</v>
      </c>
      <c r="R886" s="10"/>
      <c r="S886">
        <f>ROUND(ТабCЕС[[#This Row],[Зелений Тариф ЕЦ]]+ТабCЕС[[#This Row],[Зелений Тариф ЕЦ]]*ТабCЕС[[#This Row],[% надбавки]],4)</f>
        <v>0.16370000000000001</v>
      </c>
      <c r="T886" s="8"/>
    </row>
    <row r="887" spans="3:20">
      <c r="C887" t="s">
        <v>58</v>
      </c>
      <c r="D887" t="s">
        <v>384</v>
      </c>
      <c r="F887" s="1" t="s">
        <v>2464</v>
      </c>
      <c r="H887" t="s">
        <v>122</v>
      </c>
      <c r="K887" t="s">
        <v>2466</v>
      </c>
      <c r="L887" s="7">
        <v>1.1020000000000001</v>
      </c>
      <c r="M887" s="8">
        <v>43844</v>
      </c>
      <c r="N887">
        <v>1</v>
      </c>
      <c r="O887" t="s">
        <v>67</v>
      </c>
      <c r="P887">
        <v>2020</v>
      </c>
      <c r="Q887">
        <v>0.16370000000000001</v>
      </c>
      <c r="R887" s="10"/>
      <c r="S887">
        <f>ROUND(ТабCЕС[[#This Row],[Зелений Тариф ЕЦ]]+ТабCЕС[[#This Row],[Зелений Тариф ЕЦ]]*ТабCЕС[[#This Row],[% надбавки]],4)</f>
        <v>0.16370000000000001</v>
      </c>
      <c r="T887" s="8"/>
    </row>
    <row r="888" spans="3:20">
      <c r="C888" t="s">
        <v>58</v>
      </c>
      <c r="D888" t="s">
        <v>384</v>
      </c>
      <c r="F888" s="1" t="s">
        <v>2467</v>
      </c>
      <c r="H888" t="s">
        <v>198</v>
      </c>
      <c r="K888" t="s">
        <v>2468</v>
      </c>
      <c r="L888" s="7">
        <v>0.72099999999999997</v>
      </c>
      <c r="M888" s="8">
        <v>43844</v>
      </c>
      <c r="N888">
        <v>1</v>
      </c>
      <c r="O888" t="s">
        <v>67</v>
      </c>
      <c r="P888">
        <v>2020</v>
      </c>
      <c r="Q888">
        <v>0.16370000000000001</v>
      </c>
      <c r="R888" s="10"/>
      <c r="S888">
        <f>ROUND(ТабCЕС[[#This Row],[Зелений Тариф ЕЦ]]+ТабCЕС[[#This Row],[Зелений Тариф ЕЦ]]*ТабCЕС[[#This Row],[% надбавки]],4)</f>
        <v>0.16370000000000001</v>
      </c>
      <c r="T888" s="8"/>
    </row>
    <row r="889" spans="3:20">
      <c r="C889" t="s">
        <v>58</v>
      </c>
      <c r="D889" t="s">
        <v>384</v>
      </c>
      <c r="F889" s="1" t="s">
        <v>2469</v>
      </c>
      <c r="H889" t="s">
        <v>65</v>
      </c>
      <c r="K889" t="s">
        <v>2470</v>
      </c>
      <c r="L889" s="7">
        <v>0.22900000000000001</v>
      </c>
      <c r="M889" s="8">
        <v>43844</v>
      </c>
      <c r="N889">
        <v>1</v>
      </c>
      <c r="O889" t="s">
        <v>67</v>
      </c>
      <c r="P889">
        <v>2020</v>
      </c>
      <c r="Q889">
        <v>0.16370000000000001</v>
      </c>
      <c r="R889" s="10"/>
      <c r="S889">
        <f>ROUND(ТабCЕС[[#This Row],[Зелений Тариф ЕЦ]]+ТабCЕС[[#This Row],[Зелений Тариф ЕЦ]]*ТабCЕС[[#This Row],[% надбавки]],4)</f>
        <v>0.16370000000000001</v>
      </c>
      <c r="T889" s="8"/>
    </row>
    <row r="890" spans="3:20">
      <c r="C890" t="s">
        <v>58</v>
      </c>
      <c r="D890" t="s">
        <v>384</v>
      </c>
      <c r="F890" s="1" t="s">
        <v>2471</v>
      </c>
      <c r="H890" t="s">
        <v>122</v>
      </c>
      <c r="K890" t="s">
        <v>2472</v>
      </c>
      <c r="L890" s="7">
        <v>11.744</v>
      </c>
      <c r="M890" s="8">
        <v>43844</v>
      </c>
      <c r="N890">
        <v>1</v>
      </c>
      <c r="O890" t="s">
        <v>67</v>
      </c>
      <c r="P890">
        <v>2020</v>
      </c>
      <c r="Q890">
        <v>0.15029999999999999</v>
      </c>
      <c r="R890" s="10"/>
      <c r="S890">
        <f>ROUND(ТабCЕС[[#This Row],[Зелений Тариф ЕЦ]]+ТабCЕС[[#This Row],[Зелений Тариф ЕЦ]]*ТабCЕС[[#This Row],[% надбавки]],4)</f>
        <v>0.15029999999999999</v>
      </c>
      <c r="T890" s="8"/>
    </row>
    <row r="891" spans="3:20">
      <c r="C891" t="s">
        <v>58</v>
      </c>
      <c r="D891" t="s">
        <v>384</v>
      </c>
      <c r="F891" s="1" t="s">
        <v>2473</v>
      </c>
      <c r="H891" t="s">
        <v>233</v>
      </c>
      <c r="K891" t="s">
        <v>2474</v>
      </c>
      <c r="L891" s="7">
        <v>3.4529999999999998</v>
      </c>
      <c r="M891" s="8">
        <v>43844</v>
      </c>
      <c r="N891">
        <v>1</v>
      </c>
      <c r="O891" t="s">
        <v>67</v>
      </c>
      <c r="P891">
        <v>2020</v>
      </c>
      <c r="Q891">
        <v>0.15029999999999999</v>
      </c>
      <c r="R891" s="10"/>
      <c r="S891">
        <f>ROUND(ТабCЕС[[#This Row],[Зелений Тариф ЕЦ]]+ТабCЕС[[#This Row],[Зелений Тариф ЕЦ]]*ТабCЕС[[#This Row],[% надбавки]],4)</f>
        <v>0.15029999999999999</v>
      </c>
      <c r="T891" s="8"/>
    </row>
    <row r="892" spans="3:20">
      <c r="C892" t="s">
        <v>58</v>
      </c>
      <c r="D892" t="s">
        <v>384</v>
      </c>
      <c r="F892" s="1" t="s">
        <v>2475</v>
      </c>
      <c r="H892" t="s">
        <v>198</v>
      </c>
      <c r="K892" t="s">
        <v>2476</v>
      </c>
      <c r="L892" s="7">
        <v>1.9990000000000001</v>
      </c>
      <c r="M892" s="8">
        <v>43844</v>
      </c>
      <c r="N892">
        <v>1</v>
      </c>
      <c r="O892" t="s">
        <v>67</v>
      </c>
      <c r="P892">
        <v>2020</v>
      </c>
      <c r="Q892">
        <v>0.15029999999999999</v>
      </c>
      <c r="R892" s="10"/>
      <c r="S892">
        <f>ROUND(ТабCЕС[[#This Row],[Зелений Тариф ЕЦ]]+ТабCЕС[[#This Row],[Зелений Тариф ЕЦ]]*ТабCЕС[[#This Row],[% надбавки]],4)</f>
        <v>0.15029999999999999</v>
      </c>
      <c r="T892" s="8"/>
    </row>
    <row r="893" spans="3:20">
      <c r="C893" t="s">
        <v>58</v>
      </c>
      <c r="D893" t="s">
        <v>384</v>
      </c>
      <c r="F893" s="1" t="s">
        <v>2477</v>
      </c>
      <c r="H893" t="s">
        <v>122</v>
      </c>
      <c r="K893" t="s">
        <v>2478</v>
      </c>
      <c r="L893" s="7">
        <v>1.163</v>
      </c>
      <c r="M893" s="8">
        <v>43844</v>
      </c>
      <c r="N893">
        <v>1</v>
      </c>
      <c r="O893" t="s">
        <v>67</v>
      </c>
      <c r="P893">
        <v>2020</v>
      </c>
      <c r="Q893">
        <v>0.15029999999999999</v>
      </c>
      <c r="R893" s="10"/>
      <c r="S893">
        <f>ROUND(ТабCЕС[[#This Row],[Зелений Тариф ЕЦ]]+ТабCЕС[[#This Row],[Зелений Тариф ЕЦ]]*ТабCЕС[[#This Row],[% надбавки]],4)</f>
        <v>0.15029999999999999</v>
      </c>
      <c r="T893" s="8"/>
    </row>
    <row r="894" spans="3:20">
      <c r="C894" t="s">
        <v>58</v>
      </c>
      <c r="D894" t="s">
        <v>384</v>
      </c>
      <c r="F894" s="1" t="s">
        <v>2479</v>
      </c>
      <c r="H894" t="s">
        <v>185</v>
      </c>
      <c r="K894" t="s">
        <v>2480</v>
      </c>
      <c r="L894" s="7">
        <v>0.65</v>
      </c>
      <c r="M894" s="8">
        <v>43844</v>
      </c>
      <c r="N894">
        <v>1</v>
      </c>
      <c r="O894" t="s">
        <v>67</v>
      </c>
      <c r="P894">
        <v>2020</v>
      </c>
      <c r="Q894">
        <v>0.15029999999999999</v>
      </c>
      <c r="R894" s="10"/>
      <c r="S894">
        <f>ROUND(ТабCЕС[[#This Row],[Зелений Тариф ЕЦ]]+ТабCЕС[[#This Row],[Зелений Тариф ЕЦ]]*ТабCЕС[[#This Row],[% надбавки]],4)</f>
        <v>0.15029999999999999</v>
      </c>
      <c r="T894" s="8"/>
    </row>
    <row r="895" spans="3:20">
      <c r="C895" t="s">
        <v>58</v>
      </c>
      <c r="D895" t="s">
        <v>384</v>
      </c>
      <c r="F895" s="1" t="s">
        <v>2481</v>
      </c>
      <c r="H895" t="s">
        <v>233</v>
      </c>
      <c r="K895" t="s">
        <v>2482</v>
      </c>
      <c r="L895" s="7">
        <v>15.698</v>
      </c>
      <c r="M895" s="8">
        <v>43847</v>
      </c>
      <c r="N895">
        <v>1</v>
      </c>
      <c r="O895" t="s">
        <v>67</v>
      </c>
      <c r="P895">
        <v>2020</v>
      </c>
      <c r="Q895">
        <v>0.15029999999999999</v>
      </c>
      <c r="R895" s="10"/>
      <c r="S895">
        <f>ROUND(ТабCЕС[[#This Row],[Зелений Тариф ЕЦ]]+ТабCЕС[[#This Row],[Зелений Тариф ЕЦ]]*ТабCЕС[[#This Row],[% надбавки]],4)</f>
        <v>0.15029999999999999</v>
      </c>
      <c r="T895" s="8"/>
    </row>
    <row r="896" spans="3:20">
      <c r="C896" t="s">
        <v>58</v>
      </c>
      <c r="D896" t="s">
        <v>384</v>
      </c>
      <c r="F896" s="1" t="s">
        <v>2483</v>
      </c>
      <c r="H896" t="s">
        <v>233</v>
      </c>
      <c r="K896" t="s">
        <v>2484</v>
      </c>
      <c r="L896" s="7">
        <v>4.1580000000000004</v>
      </c>
      <c r="M896" s="8">
        <v>43847</v>
      </c>
      <c r="N896">
        <v>1</v>
      </c>
      <c r="O896" t="s">
        <v>67</v>
      </c>
      <c r="P896">
        <v>2020</v>
      </c>
      <c r="Q896">
        <v>0.15029999999999999</v>
      </c>
      <c r="R896" s="10"/>
      <c r="S896">
        <f>ROUND(ТабCЕС[[#This Row],[Зелений Тариф ЕЦ]]+ТабCЕС[[#This Row],[Зелений Тариф ЕЦ]]*ТабCЕС[[#This Row],[% надбавки]],4)</f>
        <v>0.15029999999999999</v>
      </c>
      <c r="T896" s="8"/>
    </row>
    <row r="897" spans="3:20">
      <c r="C897" t="s">
        <v>58</v>
      </c>
      <c r="D897" t="s">
        <v>384</v>
      </c>
      <c r="F897" s="1" t="s">
        <v>2485</v>
      </c>
      <c r="H897" t="s">
        <v>136</v>
      </c>
      <c r="K897" t="s">
        <v>2486</v>
      </c>
      <c r="L897" s="7">
        <v>4.5549999999999997</v>
      </c>
      <c r="M897" s="8">
        <v>43847</v>
      </c>
      <c r="N897">
        <v>1</v>
      </c>
      <c r="O897" t="s">
        <v>67</v>
      </c>
      <c r="P897">
        <v>2020</v>
      </c>
      <c r="Q897">
        <v>0.15029999999999999</v>
      </c>
      <c r="R897" s="10"/>
      <c r="S897">
        <f>ROUND(ТабCЕС[[#This Row],[Зелений Тариф ЕЦ]]+ТабCЕС[[#This Row],[Зелений Тариф ЕЦ]]*ТабCЕС[[#This Row],[% надбавки]],4)</f>
        <v>0.15029999999999999</v>
      </c>
      <c r="T897" s="8"/>
    </row>
    <row r="898" spans="3:20">
      <c r="C898" t="s">
        <v>58</v>
      </c>
      <c r="D898" t="s">
        <v>384</v>
      </c>
      <c r="F898" s="1" t="s">
        <v>2487</v>
      </c>
      <c r="H898" t="s">
        <v>198</v>
      </c>
      <c r="K898" t="s">
        <v>2488</v>
      </c>
      <c r="L898" s="7">
        <v>6.2919999999999998</v>
      </c>
      <c r="M898" s="8">
        <v>43847</v>
      </c>
      <c r="N898">
        <v>1</v>
      </c>
      <c r="O898" t="s">
        <v>67</v>
      </c>
      <c r="P898">
        <v>2020</v>
      </c>
      <c r="Q898">
        <v>0.15029999999999999</v>
      </c>
      <c r="R898" s="10"/>
      <c r="S898">
        <f>ROUND(ТабCЕС[[#This Row],[Зелений Тариф ЕЦ]]+ТабCЕС[[#This Row],[Зелений Тариф ЕЦ]]*ТабCЕС[[#This Row],[% надбавки]],4)</f>
        <v>0.15029999999999999</v>
      </c>
      <c r="T898" s="8"/>
    </row>
    <row r="899" spans="3:20">
      <c r="C899" t="s">
        <v>58</v>
      </c>
      <c r="D899" t="s">
        <v>384</v>
      </c>
      <c r="F899" s="1" t="s">
        <v>2489</v>
      </c>
      <c r="H899" t="s">
        <v>136</v>
      </c>
      <c r="K899" t="s">
        <v>2490</v>
      </c>
      <c r="L899" s="7">
        <v>0.09</v>
      </c>
      <c r="M899" s="8">
        <v>43847</v>
      </c>
      <c r="N899">
        <v>1</v>
      </c>
      <c r="O899" t="s">
        <v>67</v>
      </c>
      <c r="P899">
        <v>2020</v>
      </c>
      <c r="Q899">
        <v>0.16370000000000001</v>
      </c>
      <c r="R899" s="10"/>
      <c r="S899">
        <f>ROUND(ТабCЕС[[#This Row],[Зелений Тариф ЕЦ]]+ТабCЕС[[#This Row],[Зелений Тариф ЕЦ]]*ТабCЕС[[#This Row],[% надбавки]],4)</f>
        <v>0.16370000000000001</v>
      </c>
      <c r="T899" s="8"/>
    </row>
    <row r="900" spans="3:20">
      <c r="C900" t="s">
        <v>58</v>
      </c>
      <c r="D900" t="s">
        <v>384</v>
      </c>
      <c r="F900" s="1" t="s">
        <v>2491</v>
      </c>
      <c r="H900" t="s">
        <v>62</v>
      </c>
      <c r="K900" t="s">
        <v>2492</v>
      </c>
      <c r="L900" s="7">
        <v>0.83899999999999997</v>
      </c>
      <c r="M900" s="8">
        <v>43847</v>
      </c>
      <c r="N900">
        <v>1</v>
      </c>
      <c r="O900" t="s">
        <v>67</v>
      </c>
      <c r="P900">
        <v>2020</v>
      </c>
      <c r="Q900">
        <v>0.16370000000000001</v>
      </c>
      <c r="R900" s="10"/>
      <c r="S900">
        <f>ROUND(ТабCЕС[[#This Row],[Зелений Тариф ЕЦ]]+ТабCЕС[[#This Row],[Зелений Тариф ЕЦ]]*ТабCЕС[[#This Row],[% надбавки]],4)</f>
        <v>0.16370000000000001</v>
      </c>
      <c r="T900" s="8"/>
    </row>
    <row r="901" spans="3:20">
      <c r="C901" t="s">
        <v>58</v>
      </c>
      <c r="D901" t="s">
        <v>384</v>
      </c>
      <c r="F901" s="1" t="s">
        <v>2493</v>
      </c>
      <c r="H901" t="s">
        <v>136</v>
      </c>
      <c r="K901" t="s">
        <v>2494</v>
      </c>
      <c r="L901" s="7">
        <v>0.60399999999999998</v>
      </c>
      <c r="M901" s="8">
        <v>43847</v>
      </c>
      <c r="N901">
        <v>1</v>
      </c>
      <c r="O901" t="s">
        <v>67</v>
      </c>
      <c r="P901">
        <v>2020</v>
      </c>
      <c r="Q901">
        <v>0.16370000000000001</v>
      </c>
      <c r="R901" s="10"/>
      <c r="S901">
        <f>ROUND(ТабCЕС[[#This Row],[Зелений Тариф ЕЦ]]+ТабCЕС[[#This Row],[Зелений Тариф ЕЦ]]*ТабCЕС[[#This Row],[% надбавки]],4)</f>
        <v>0.16370000000000001</v>
      </c>
      <c r="T901" s="8"/>
    </row>
    <row r="902" spans="3:20">
      <c r="C902" t="s">
        <v>58</v>
      </c>
      <c r="D902" t="s">
        <v>384</v>
      </c>
      <c r="F902" s="1" t="s">
        <v>2495</v>
      </c>
      <c r="H902" t="s">
        <v>185</v>
      </c>
      <c r="K902" t="s">
        <v>2496</v>
      </c>
      <c r="L902" s="7">
        <v>0.85099999999999998</v>
      </c>
      <c r="M902" s="8">
        <v>43847</v>
      </c>
      <c r="N902">
        <v>1</v>
      </c>
      <c r="O902" t="s">
        <v>67</v>
      </c>
      <c r="P902">
        <v>2020</v>
      </c>
      <c r="Q902">
        <v>0.16370000000000001</v>
      </c>
      <c r="R902" s="10"/>
      <c r="S902">
        <f>ROUND(ТабCЕС[[#This Row],[Зелений Тариф ЕЦ]]+ТабCЕС[[#This Row],[Зелений Тариф ЕЦ]]*ТабCЕС[[#This Row],[% надбавки]],4)</f>
        <v>0.16370000000000001</v>
      </c>
      <c r="T902" s="8"/>
    </row>
    <row r="903" spans="3:20">
      <c r="C903" t="s">
        <v>58</v>
      </c>
      <c r="D903" t="s">
        <v>384</v>
      </c>
      <c r="F903" s="1" t="s">
        <v>2497</v>
      </c>
      <c r="H903" t="s">
        <v>185</v>
      </c>
      <c r="K903" t="s">
        <v>2498</v>
      </c>
      <c r="L903" s="7">
        <v>0.97299999999999998</v>
      </c>
      <c r="M903" s="8">
        <v>43847</v>
      </c>
      <c r="N903">
        <v>1</v>
      </c>
      <c r="O903" t="s">
        <v>67</v>
      </c>
      <c r="P903">
        <v>2020</v>
      </c>
      <c r="Q903">
        <v>0.16370000000000001</v>
      </c>
      <c r="R903" s="10"/>
      <c r="S903">
        <f>ROUND(ТабCЕС[[#This Row],[Зелений Тариф ЕЦ]]+ТабCЕС[[#This Row],[Зелений Тариф ЕЦ]]*ТабCЕС[[#This Row],[% надбавки]],4)</f>
        <v>0.16370000000000001</v>
      </c>
      <c r="T903" s="8"/>
    </row>
    <row r="904" spans="3:20">
      <c r="C904" t="s">
        <v>58</v>
      </c>
      <c r="D904" t="s">
        <v>384</v>
      </c>
      <c r="F904" s="1" t="s">
        <v>2413</v>
      </c>
      <c r="H904" t="s">
        <v>73</v>
      </c>
      <c r="K904" t="s">
        <v>2499</v>
      </c>
      <c r="L904" s="7">
        <v>31.01</v>
      </c>
      <c r="M904" s="8">
        <v>43847</v>
      </c>
      <c r="N904">
        <v>1</v>
      </c>
      <c r="O904" t="s">
        <v>67</v>
      </c>
      <c r="P904">
        <v>2020</v>
      </c>
      <c r="Q904">
        <v>0.15029999999999999</v>
      </c>
      <c r="R904" s="10"/>
      <c r="S904">
        <f>ROUND(ТабCЕС[[#This Row],[Зелений Тариф ЕЦ]]+ТабCЕС[[#This Row],[Зелений Тариф ЕЦ]]*ТабCЕС[[#This Row],[% надбавки]],4)</f>
        <v>0.15029999999999999</v>
      </c>
      <c r="T904" s="8"/>
    </row>
    <row r="905" spans="3:20">
      <c r="C905" t="s">
        <v>58</v>
      </c>
      <c r="D905" t="s">
        <v>384</v>
      </c>
      <c r="F905" s="1" t="s">
        <v>2413</v>
      </c>
      <c r="H905" t="s">
        <v>73</v>
      </c>
      <c r="K905" t="s">
        <v>2500</v>
      </c>
      <c r="L905" s="7">
        <v>14.766999999999999</v>
      </c>
      <c r="M905" s="8">
        <v>43847</v>
      </c>
      <c r="N905">
        <v>1</v>
      </c>
      <c r="O905" t="s">
        <v>67</v>
      </c>
      <c r="P905">
        <v>2020</v>
      </c>
      <c r="Q905">
        <v>0.15029999999999999</v>
      </c>
      <c r="R905" s="10"/>
      <c r="S905">
        <f>ROUND(ТабCЕС[[#This Row],[Зелений Тариф ЕЦ]]+ТабCЕС[[#This Row],[Зелений Тариф ЕЦ]]*ТабCЕС[[#This Row],[% надбавки]],4)</f>
        <v>0.15029999999999999</v>
      </c>
      <c r="T905" s="8"/>
    </row>
    <row r="906" spans="3:20">
      <c r="C906" t="s">
        <v>58</v>
      </c>
      <c r="D906" t="s">
        <v>384</v>
      </c>
      <c r="F906" s="1" t="s">
        <v>2501</v>
      </c>
      <c r="H906" t="s">
        <v>176</v>
      </c>
      <c r="K906" t="s">
        <v>2502</v>
      </c>
      <c r="L906" s="7">
        <v>10.637</v>
      </c>
      <c r="M906" s="8">
        <v>43847</v>
      </c>
      <c r="N906">
        <v>1</v>
      </c>
      <c r="O906" t="s">
        <v>67</v>
      </c>
      <c r="P906">
        <v>2020</v>
      </c>
      <c r="Q906">
        <v>0.15029999999999999</v>
      </c>
      <c r="R906" s="10"/>
      <c r="S906">
        <f>ROUND(ТабCЕС[[#This Row],[Зелений Тариф ЕЦ]]+ТабCЕС[[#This Row],[Зелений Тариф ЕЦ]]*ТабCЕС[[#This Row],[% надбавки]],4)</f>
        <v>0.15029999999999999</v>
      </c>
      <c r="T906" s="8"/>
    </row>
    <row r="907" spans="3:20">
      <c r="C907" t="s">
        <v>58</v>
      </c>
      <c r="D907" t="s">
        <v>384</v>
      </c>
      <c r="F907" s="1" t="s">
        <v>2503</v>
      </c>
      <c r="H907" t="s">
        <v>122</v>
      </c>
      <c r="K907" t="s">
        <v>2504</v>
      </c>
      <c r="L907" s="7">
        <v>6.4029999999999996</v>
      </c>
      <c r="M907" s="8">
        <v>43847</v>
      </c>
      <c r="N907">
        <v>1</v>
      </c>
      <c r="O907" t="s">
        <v>67</v>
      </c>
      <c r="P907">
        <v>2020</v>
      </c>
      <c r="Q907">
        <v>0.15029999999999999</v>
      </c>
      <c r="R907" s="10"/>
      <c r="S907">
        <f>ROUND(ТабCЕС[[#This Row],[Зелений Тариф ЕЦ]]+ТабCЕС[[#This Row],[Зелений Тариф ЕЦ]]*ТабCЕС[[#This Row],[% надбавки]],4)</f>
        <v>0.15029999999999999</v>
      </c>
      <c r="T907" s="8"/>
    </row>
    <row r="908" spans="3:20">
      <c r="C908" t="s">
        <v>58</v>
      </c>
      <c r="D908" t="s">
        <v>384</v>
      </c>
      <c r="F908" s="1" t="s">
        <v>2010</v>
      </c>
      <c r="H908" t="s">
        <v>233</v>
      </c>
      <c r="K908" t="s">
        <v>2505</v>
      </c>
      <c r="L908" s="7">
        <v>1.659</v>
      </c>
      <c r="M908" s="8">
        <v>43847</v>
      </c>
      <c r="N908">
        <v>1</v>
      </c>
      <c r="O908" t="s">
        <v>67</v>
      </c>
      <c r="P908">
        <v>2020</v>
      </c>
      <c r="Q908">
        <v>0.15029999999999999</v>
      </c>
      <c r="R908" s="10"/>
      <c r="S908">
        <f>ROUND(ТабCЕС[[#This Row],[Зелений Тариф ЕЦ]]+ТабCЕС[[#This Row],[Зелений Тариф ЕЦ]]*ТабCЕС[[#This Row],[% надбавки]],4)</f>
        <v>0.15029999999999999</v>
      </c>
      <c r="T908" s="8"/>
    </row>
    <row r="909" spans="3:20">
      <c r="C909" t="s">
        <v>58</v>
      </c>
      <c r="D909" t="s">
        <v>384</v>
      </c>
      <c r="F909" s="1" t="s">
        <v>2506</v>
      </c>
      <c r="H909" t="s">
        <v>101</v>
      </c>
      <c r="K909" t="s">
        <v>2507</v>
      </c>
      <c r="L909" s="7">
        <v>1.24</v>
      </c>
      <c r="M909" s="8">
        <v>43847</v>
      </c>
      <c r="N909">
        <v>1</v>
      </c>
      <c r="O909" t="s">
        <v>67</v>
      </c>
      <c r="P909">
        <v>2020</v>
      </c>
      <c r="Q909">
        <v>0.15029999999999999</v>
      </c>
      <c r="R909" s="10"/>
      <c r="S909">
        <f>ROUND(ТабCЕС[[#This Row],[Зелений Тариф ЕЦ]]+ТабCЕС[[#This Row],[Зелений Тариф ЕЦ]]*ТабCЕС[[#This Row],[% надбавки]],4)</f>
        <v>0.15029999999999999</v>
      </c>
      <c r="T909" s="8"/>
    </row>
    <row r="910" spans="3:20">
      <c r="C910" t="s">
        <v>58</v>
      </c>
      <c r="D910" t="s">
        <v>384</v>
      </c>
      <c r="F910" s="1" t="s">
        <v>2039</v>
      </c>
      <c r="H910" t="s">
        <v>107</v>
      </c>
      <c r="K910" t="s">
        <v>2508</v>
      </c>
      <c r="L910" s="7">
        <v>0.74299999999999999</v>
      </c>
      <c r="M910" s="8">
        <v>43847</v>
      </c>
      <c r="N910">
        <v>1</v>
      </c>
      <c r="O910" t="s">
        <v>67</v>
      </c>
      <c r="P910">
        <v>2020</v>
      </c>
      <c r="Q910">
        <v>0.16370000000000001</v>
      </c>
      <c r="R910" s="10"/>
      <c r="S910">
        <f>ROUND(ТабCЕС[[#This Row],[Зелений Тариф ЕЦ]]+ТабCЕС[[#This Row],[Зелений Тариф ЕЦ]]*ТабCЕС[[#This Row],[% надбавки]],4)</f>
        <v>0.16370000000000001</v>
      </c>
      <c r="T910" s="8"/>
    </row>
    <row r="911" spans="3:20">
      <c r="C911" t="s">
        <v>58</v>
      </c>
      <c r="D911" t="s">
        <v>384</v>
      </c>
      <c r="F911" s="1" t="s">
        <v>2509</v>
      </c>
      <c r="H911" t="s">
        <v>136</v>
      </c>
      <c r="K911" t="s">
        <v>2510</v>
      </c>
      <c r="L911" s="7">
        <v>1.036</v>
      </c>
      <c r="M911" s="8">
        <v>43847</v>
      </c>
      <c r="N911">
        <v>1</v>
      </c>
      <c r="O911" t="s">
        <v>67</v>
      </c>
      <c r="P911">
        <v>2020</v>
      </c>
      <c r="Q911">
        <v>0.16370000000000001</v>
      </c>
      <c r="R911" s="10"/>
      <c r="S911">
        <f>ROUND(ТабCЕС[[#This Row],[Зелений Тариф ЕЦ]]+ТабCЕС[[#This Row],[Зелений Тариф ЕЦ]]*ТабCЕС[[#This Row],[% надбавки]],4)</f>
        <v>0.16370000000000001</v>
      </c>
      <c r="T911" s="8"/>
    </row>
    <row r="912" spans="3:20">
      <c r="C912" t="s">
        <v>58</v>
      </c>
      <c r="D912" t="s">
        <v>384</v>
      </c>
      <c r="F912" s="1" t="s">
        <v>2511</v>
      </c>
      <c r="H912" t="s">
        <v>163</v>
      </c>
      <c r="K912" t="s">
        <v>2512</v>
      </c>
      <c r="L912" s="7">
        <v>10.888</v>
      </c>
      <c r="M912" s="8">
        <v>43854</v>
      </c>
      <c r="N912">
        <v>1</v>
      </c>
      <c r="O912" t="s">
        <v>67</v>
      </c>
      <c r="P912">
        <v>2020</v>
      </c>
      <c r="Q912">
        <v>0.15029999999999999</v>
      </c>
      <c r="R912" s="10"/>
      <c r="S912">
        <f>ROUND(ТабCЕС[[#This Row],[Зелений Тариф ЕЦ]]+ТабCЕС[[#This Row],[Зелений Тариф ЕЦ]]*ТабCЕС[[#This Row],[% надбавки]],4)</f>
        <v>0.15029999999999999</v>
      </c>
      <c r="T912" s="8"/>
    </row>
    <row r="913" spans="3:20">
      <c r="C913" t="s">
        <v>58</v>
      </c>
      <c r="D913" t="s">
        <v>384</v>
      </c>
      <c r="F913" s="1" t="s">
        <v>2513</v>
      </c>
      <c r="H913" t="s">
        <v>82</v>
      </c>
      <c r="K913" t="s">
        <v>2514</v>
      </c>
      <c r="L913" s="7">
        <v>13.29</v>
      </c>
      <c r="M913" s="8">
        <v>43854</v>
      </c>
      <c r="N913">
        <v>1</v>
      </c>
      <c r="O913" t="s">
        <v>67</v>
      </c>
      <c r="P913">
        <v>2020</v>
      </c>
      <c r="Q913">
        <v>0.15029999999999999</v>
      </c>
      <c r="R913" s="10"/>
      <c r="S913">
        <f>ROUND(ТабCЕС[[#This Row],[Зелений Тариф ЕЦ]]+ТабCЕС[[#This Row],[Зелений Тариф ЕЦ]]*ТабCЕС[[#This Row],[% надбавки]],4)</f>
        <v>0.15029999999999999</v>
      </c>
      <c r="T913" s="8"/>
    </row>
    <row r="914" spans="3:20">
      <c r="C914" t="s">
        <v>58</v>
      </c>
      <c r="D914" t="s">
        <v>384</v>
      </c>
      <c r="F914" s="1" t="s">
        <v>2515</v>
      </c>
      <c r="H914" t="s">
        <v>65</v>
      </c>
      <c r="K914" t="s">
        <v>2516</v>
      </c>
      <c r="L914" s="7">
        <v>5.0940000000000003</v>
      </c>
      <c r="M914" s="8">
        <v>43854</v>
      </c>
      <c r="N914">
        <v>1</v>
      </c>
      <c r="O914" t="s">
        <v>67</v>
      </c>
      <c r="P914">
        <v>2020</v>
      </c>
      <c r="Q914">
        <v>0.15029999999999999</v>
      </c>
      <c r="R914" s="10"/>
      <c r="S914">
        <f>ROUND(ТабCЕС[[#This Row],[Зелений Тариф ЕЦ]]+ТабCЕС[[#This Row],[Зелений Тариф ЕЦ]]*ТабCЕС[[#This Row],[% надбавки]],4)</f>
        <v>0.15029999999999999</v>
      </c>
      <c r="T914" s="8"/>
    </row>
    <row r="915" spans="3:20">
      <c r="C915" t="s">
        <v>58</v>
      </c>
      <c r="D915" t="s">
        <v>384</v>
      </c>
      <c r="F915" s="1" t="s">
        <v>2517</v>
      </c>
      <c r="H915" t="s">
        <v>163</v>
      </c>
      <c r="K915" t="s">
        <v>2518</v>
      </c>
      <c r="L915" s="7">
        <v>1.8759999999999999</v>
      </c>
      <c r="M915" s="8">
        <v>43854</v>
      </c>
      <c r="N915">
        <v>1</v>
      </c>
      <c r="O915" t="s">
        <v>67</v>
      </c>
      <c r="P915">
        <v>2020</v>
      </c>
      <c r="Q915">
        <v>0.15029999999999999</v>
      </c>
      <c r="R915" s="10"/>
      <c r="S915">
        <f>ROUND(ТабCЕС[[#This Row],[Зелений Тариф ЕЦ]]+ТабCЕС[[#This Row],[Зелений Тариф ЕЦ]]*ТабCЕС[[#This Row],[% надбавки]],4)</f>
        <v>0.15029999999999999</v>
      </c>
      <c r="T915" s="8"/>
    </row>
    <row r="916" spans="3:20">
      <c r="C916" t="s">
        <v>58</v>
      </c>
      <c r="D916" t="s">
        <v>384</v>
      </c>
      <c r="F916" s="1" t="s">
        <v>2519</v>
      </c>
      <c r="H916" t="s">
        <v>163</v>
      </c>
      <c r="K916" t="s">
        <v>2520</v>
      </c>
      <c r="L916" s="7">
        <v>0.752</v>
      </c>
      <c r="M916" s="8">
        <v>43854</v>
      </c>
      <c r="N916">
        <v>1</v>
      </c>
      <c r="O916" t="s">
        <v>67</v>
      </c>
      <c r="P916">
        <v>2020</v>
      </c>
      <c r="Q916">
        <v>0.15029999999999999</v>
      </c>
      <c r="R916" s="10"/>
      <c r="S916">
        <f>ROUND(ТабCЕС[[#This Row],[Зелений Тариф ЕЦ]]+ТабCЕС[[#This Row],[Зелений Тариф ЕЦ]]*ТабCЕС[[#This Row],[% надбавки]],4)</f>
        <v>0.15029999999999999</v>
      </c>
      <c r="T916" s="8"/>
    </row>
    <row r="917" spans="3:20">
      <c r="C917" t="s">
        <v>58</v>
      </c>
      <c r="D917" t="s">
        <v>384</v>
      </c>
      <c r="F917" s="1" t="s">
        <v>2521</v>
      </c>
      <c r="H917" t="s">
        <v>98</v>
      </c>
      <c r="K917" t="s">
        <v>2522</v>
      </c>
      <c r="L917" s="7">
        <v>2.1589999999999998</v>
      </c>
      <c r="M917" s="8">
        <v>43854</v>
      </c>
      <c r="N917">
        <v>1</v>
      </c>
      <c r="O917" t="s">
        <v>67</v>
      </c>
      <c r="P917">
        <v>2020</v>
      </c>
      <c r="Q917">
        <v>0.15029999999999999</v>
      </c>
      <c r="R917" s="10"/>
      <c r="S917">
        <f>ROUND(ТабCЕС[[#This Row],[Зелений Тариф ЕЦ]]+ТабCЕС[[#This Row],[Зелений Тариф ЕЦ]]*ТабCЕС[[#This Row],[% надбавки]],4)</f>
        <v>0.15029999999999999</v>
      </c>
      <c r="T917" s="8"/>
    </row>
    <row r="918" spans="3:20">
      <c r="C918" t="s">
        <v>58</v>
      </c>
      <c r="D918" t="s">
        <v>384</v>
      </c>
      <c r="F918" s="1" t="s">
        <v>2523</v>
      </c>
      <c r="H918" t="s">
        <v>163</v>
      </c>
      <c r="K918" t="s">
        <v>2524</v>
      </c>
      <c r="L918" s="7">
        <v>0.995</v>
      </c>
      <c r="M918" s="8">
        <v>43854</v>
      </c>
      <c r="N918">
        <v>1</v>
      </c>
      <c r="O918" t="s">
        <v>67</v>
      </c>
      <c r="P918">
        <v>2020</v>
      </c>
      <c r="Q918">
        <v>0.15029999999999999</v>
      </c>
      <c r="R918" s="10"/>
      <c r="S918">
        <f>ROUND(ТабCЕС[[#This Row],[Зелений Тариф ЕЦ]]+ТабCЕС[[#This Row],[Зелений Тариф ЕЦ]]*ТабCЕС[[#This Row],[% надбавки]],4)</f>
        <v>0.15029999999999999</v>
      </c>
      <c r="T918" s="8"/>
    </row>
    <row r="919" spans="3:20">
      <c r="C919" t="s">
        <v>58</v>
      </c>
      <c r="D919" t="s">
        <v>384</v>
      </c>
      <c r="F919" s="1" t="s">
        <v>2525</v>
      </c>
      <c r="H919" t="s">
        <v>198</v>
      </c>
      <c r="K919" t="s">
        <v>2526</v>
      </c>
      <c r="L919" s="7">
        <v>0.76200000000000001</v>
      </c>
      <c r="M919" s="8">
        <v>43854</v>
      </c>
      <c r="N919">
        <v>1</v>
      </c>
      <c r="O919" t="s">
        <v>67</v>
      </c>
      <c r="P919">
        <v>2020</v>
      </c>
      <c r="Q919">
        <v>0.15029999999999999</v>
      </c>
      <c r="R919" s="10"/>
      <c r="S919">
        <f>ROUND(ТабCЕС[[#This Row],[Зелений Тариф ЕЦ]]+ТабCЕС[[#This Row],[Зелений Тариф ЕЦ]]*ТабCЕС[[#This Row],[% надбавки]],4)</f>
        <v>0.15029999999999999</v>
      </c>
      <c r="T919" s="8"/>
    </row>
    <row r="920" spans="3:20" ht="25.5">
      <c r="C920" t="s">
        <v>58</v>
      </c>
      <c r="D920" t="s">
        <v>384</v>
      </c>
      <c r="F920" s="1" t="s">
        <v>2527</v>
      </c>
      <c r="H920" t="s">
        <v>65</v>
      </c>
      <c r="K920" t="s">
        <v>2528</v>
      </c>
      <c r="L920" s="7">
        <v>0.308</v>
      </c>
      <c r="M920" s="8">
        <v>43854</v>
      </c>
      <c r="N920">
        <v>1</v>
      </c>
      <c r="O920" t="s">
        <v>67</v>
      </c>
      <c r="P920">
        <v>2020</v>
      </c>
      <c r="Q920">
        <v>0.16370000000000001</v>
      </c>
      <c r="R920" s="10"/>
      <c r="S920">
        <f>ROUND(ТабCЕС[[#This Row],[Зелений Тариф ЕЦ]]+ТабCЕС[[#This Row],[Зелений Тариф ЕЦ]]*ТабCЕС[[#This Row],[% надбавки]],4)</f>
        <v>0.16370000000000001</v>
      </c>
      <c r="T920" s="8"/>
    </row>
    <row r="921" spans="3:20">
      <c r="C921" t="s">
        <v>58</v>
      </c>
      <c r="D921" t="s">
        <v>384</v>
      </c>
      <c r="F921" s="1" t="s">
        <v>2529</v>
      </c>
      <c r="H921" t="s">
        <v>198</v>
      </c>
      <c r="K921" t="s">
        <v>2530</v>
      </c>
      <c r="L921" s="7">
        <v>0.65300000000000002</v>
      </c>
      <c r="M921" s="8">
        <v>43854</v>
      </c>
      <c r="N921">
        <v>1</v>
      </c>
      <c r="O921" t="s">
        <v>67</v>
      </c>
      <c r="P921">
        <v>2020</v>
      </c>
      <c r="Q921">
        <v>0.16370000000000001</v>
      </c>
      <c r="R921" s="10"/>
      <c r="S921">
        <f>ROUND(ТабCЕС[[#This Row],[Зелений Тариф ЕЦ]]+ТабCЕС[[#This Row],[Зелений Тариф ЕЦ]]*ТабCЕС[[#This Row],[% надбавки]],4)</f>
        <v>0.16370000000000001</v>
      </c>
      <c r="T921" s="8"/>
    </row>
    <row r="922" spans="3:20">
      <c r="C922" t="s">
        <v>58</v>
      </c>
      <c r="D922" t="s">
        <v>384</v>
      </c>
      <c r="F922" s="1" t="s">
        <v>2529</v>
      </c>
      <c r="H922" t="s">
        <v>198</v>
      </c>
      <c r="K922" t="s">
        <v>2531</v>
      </c>
      <c r="L922" s="7">
        <v>0.128</v>
      </c>
      <c r="M922" s="8">
        <v>43854</v>
      </c>
      <c r="N922">
        <v>1</v>
      </c>
      <c r="O922" t="s">
        <v>67</v>
      </c>
      <c r="P922">
        <v>2020</v>
      </c>
      <c r="Q922">
        <v>0.16370000000000001</v>
      </c>
      <c r="R922" s="10"/>
      <c r="S922">
        <f>ROUND(ТабCЕС[[#This Row],[Зелений Тариф ЕЦ]]+ТабCЕС[[#This Row],[Зелений Тариф ЕЦ]]*ТабCЕС[[#This Row],[% надбавки]],4)</f>
        <v>0.16370000000000001</v>
      </c>
      <c r="T922" s="8"/>
    </row>
    <row r="923" spans="3:20">
      <c r="C923" t="s">
        <v>58</v>
      </c>
      <c r="D923" t="s">
        <v>384</v>
      </c>
      <c r="F923" s="1" t="s">
        <v>2532</v>
      </c>
      <c r="H923" t="s">
        <v>107</v>
      </c>
      <c r="K923" t="s">
        <v>2533</v>
      </c>
      <c r="L923" s="7">
        <v>0.25</v>
      </c>
      <c r="M923" s="8">
        <v>43854</v>
      </c>
      <c r="N923">
        <v>1</v>
      </c>
      <c r="O923" t="s">
        <v>67</v>
      </c>
      <c r="P923">
        <v>2020</v>
      </c>
      <c r="Q923">
        <v>0.16370000000000001</v>
      </c>
      <c r="R923" s="10"/>
      <c r="S923">
        <f>ROUND(ТабCЕС[[#This Row],[Зелений Тариф ЕЦ]]+ТабCЕС[[#This Row],[Зелений Тариф ЕЦ]]*ТабCЕС[[#This Row],[% надбавки]],4)</f>
        <v>0.16370000000000001</v>
      </c>
      <c r="T923" s="8"/>
    </row>
    <row r="924" spans="3:20">
      <c r="C924" t="s">
        <v>58</v>
      </c>
      <c r="D924" t="s">
        <v>384</v>
      </c>
      <c r="F924" s="1" t="s">
        <v>2534</v>
      </c>
      <c r="H924" t="s">
        <v>198</v>
      </c>
      <c r="K924" t="s">
        <v>2535</v>
      </c>
      <c r="L924" s="7">
        <v>0.43</v>
      </c>
      <c r="M924" s="8">
        <v>43854</v>
      </c>
      <c r="N924">
        <v>1</v>
      </c>
      <c r="O924" t="s">
        <v>67</v>
      </c>
      <c r="P924">
        <v>2020</v>
      </c>
      <c r="Q924">
        <v>0.16370000000000001</v>
      </c>
      <c r="R924" s="10"/>
      <c r="S924">
        <f>ROUND(ТабCЕС[[#This Row],[Зелений Тариф ЕЦ]]+ТабCЕС[[#This Row],[Зелений Тариф ЕЦ]]*ТабCЕС[[#This Row],[% надбавки]],4)</f>
        <v>0.16370000000000001</v>
      </c>
      <c r="T924" s="8"/>
    </row>
    <row r="925" spans="3:20">
      <c r="C925" t="s">
        <v>58</v>
      </c>
      <c r="D925" t="s">
        <v>384</v>
      </c>
      <c r="F925" s="1" t="s">
        <v>2536</v>
      </c>
      <c r="H925" t="s">
        <v>122</v>
      </c>
      <c r="K925" t="s">
        <v>2537</v>
      </c>
      <c r="L925" s="7">
        <v>0.222</v>
      </c>
      <c r="M925" s="8">
        <v>43854</v>
      </c>
      <c r="N925">
        <v>1</v>
      </c>
      <c r="O925" t="s">
        <v>67</v>
      </c>
      <c r="P925">
        <v>2020</v>
      </c>
      <c r="Q925">
        <v>0.16370000000000001</v>
      </c>
      <c r="R925" s="10"/>
      <c r="S925">
        <f>ROUND(ТабCЕС[[#This Row],[Зелений Тариф ЕЦ]]+ТабCЕС[[#This Row],[Зелений Тариф ЕЦ]]*ТабCЕС[[#This Row],[% надбавки]],4)</f>
        <v>0.16370000000000001</v>
      </c>
      <c r="T925" s="8"/>
    </row>
    <row r="926" spans="3:20">
      <c r="C926" t="s">
        <v>58</v>
      </c>
      <c r="D926" t="s">
        <v>384</v>
      </c>
      <c r="F926" s="1" t="s">
        <v>2491</v>
      </c>
      <c r="H926" t="s">
        <v>98</v>
      </c>
      <c r="K926" t="s">
        <v>2538</v>
      </c>
      <c r="L926" s="7">
        <v>0.128</v>
      </c>
      <c r="M926" s="8">
        <v>43854</v>
      </c>
      <c r="N926">
        <v>1</v>
      </c>
      <c r="O926" t="s">
        <v>67</v>
      </c>
      <c r="P926">
        <v>2020</v>
      </c>
      <c r="Q926">
        <v>0.16370000000000001</v>
      </c>
      <c r="R926" s="10"/>
      <c r="S926">
        <f>ROUND(ТабCЕС[[#This Row],[Зелений Тариф ЕЦ]]+ТабCЕС[[#This Row],[Зелений Тариф ЕЦ]]*ТабCЕС[[#This Row],[% надбавки]],4)</f>
        <v>0.16370000000000001</v>
      </c>
      <c r="T926" s="8"/>
    </row>
    <row r="927" spans="3:20">
      <c r="C927" t="s">
        <v>58</v>
      </c>
      <c r="D927" t="s">
        <v>384</v>
      </c>
      <c r="F927" s="1" t="s">
        <v>2539</v>
      </c>
      <c r="H927" t="s">
        <v>136</v>
      </c>
      <c r="K927" t="s">
        <v>2540</v>
      </c>
      <c r="L927" s="7">
        <v>1.361</v>
      </c>
      <c r="M927" s="8">
        <v>43854</v>
      </c>
      <c r="N927">
        <v>1</v>
      </c>
      <c r="O927" t="s">
        <v>67</v>
      </c>
      <c r="P927">
        <v>2020</v>
      </c>
      <c r="Q927">
        <v>0.16370000000000001</v>
      </c>
      <c r="R927" s="10"/>
      <c r="S927">
        <f>ROUND(ТабCЕС[[#This Row],[Зелений Тариф ЕЦ]]+ТабCЕС[[#This Row],[Зелений Тариф ЕЦ]]*ТабCЕС[[#This Row],[% надбавки]],4)</f>
        <v>0.16370000000000001</v>
      </c>
      <c r="T927" s="8"/>
    </row>
    <row r="928" spans="3:20">
      <c r="C928" t="s">
        <v>58</v>
      </c>
      <c r="D928" t="s">
        <v>384</v>
      </c>
      <c r="F928" s="1" t="s">
        <v>2541</v>
      </c>
      <c r="H928" t="s">
        <v>136</v>
      </c>
      <c r="K928" t="s">
        <v>2542</v>
      </c>
      <c r="L928" s="7">
        <v>19.899999999999999</v>
      </c>
      <c r="M928" s="8">
        <v>43858</v>
      </c>
      <c r="N928">
        <v>1</v>
      </c>
      <c r="O928" t="s">
        <v>67</v>
      </c>
      <c r="P928">
        <v>2020</v>
      </c>
      <c r="Q928">
        <v>0.15029999999999999</v>
      </c>
      <c r="R928" s="10"/>
      <c r="S928">
        <f>ROUND(ТабCЕС[[#This Row],[Зелений Тариф ЕЦ]]+ТабCЕС[[#This Row],[Зелений Тариф ЕЦ]]*ТабCЕС[[#This Row],[% надбавки]],4)</f>
        <v>0.15029999999999999</v>
      </c>
      <c r="T928" s="8"/>
    </row>
    <row r="929" spans="3:20">
      <c r="C929" t="s">
        <v>58</v>
      </c>
      <c r="D929" t="s">
        <v>384</v>
      </c>
      <c r="F929" s="1" t="s">
        <v>2543</v>
      </c>
      <c r="G929" s="1" t="s">
        <v>2544</v>
      </c>
      <c r="H929" t="s">
        <v>141</v>
      </c>
      <c r="K929" t="s">
        <v>2545</v>
      </c>
      <c r="L929" s="7">
        <v>2.254</v>
      </c>
      <c r="M929" s="8">
        <v>43861</v>
      </c>
      <c r="N929">
        <v>1</v>
      </c>
      <c r="O929" t="s">
        <v>67</v>
      </c>
      <c r="P929">
        <v>2020</v>
      </c>
      <c r="Q929">
        <v>0.15029999999999999</v>
      </c>
      <c r="R929" s="10"/>
      <c r="S929">
        <f>ROUND(ТабCЕС[[#This Row],[Зелений Тариф ЕЦ]]+ТабCЕС[[#This Row],[Зелений Тариф ЕЦ]]*ТабCЕС[[#This Row],[% надбавки]],4)</f>
        <v>0.15029999999999999</v>
      </c>
      <c r="T929" s="8"/>
    </row>
    <row r="930" spans="3:20">
      <c r="C930" t="s">
        <v>58</v>
      </c>
      <c r="D930" t="s">
        <v>384</v>
      </c>
      <c r="F930" s="1" t="s">
        <v>2546</v>
      </c>
      <c r="H930" t="s">
        <v>85</v>
      </c>
      <c r="K930" t="s">
        <v>2547</v>
      </c>
      <c r="L930" s="7">
        <v>0.999</v>
      </c>
      <c r="M930" s="8">
        <v>43861</v>
      </c>
      <c r="N930">
        <v>1</v>
      </c>
      <c r="O930" t="s">
        <v>67</v>
      </c>
      <c r="P930">
        <v>2020</v>
      </c>
      <c r="Q930">
        <v>0.16370000000000001</v>
      </c>
      <c r="R930" s="10"/>
      <c r="S930">
        <f>ROUND(ТабCЕС[[#This Row],[Зелений Тариф ЕЦ]]+ТабCЕС[[#This Row],[Зелений Тариф ЕЦ]]*ТабCЕС[[#This Row],[% надбавки]],4)</f>
        <v>0.16370000000000001</v>
      </c>
      <c r="T930" s="8"/>
    </row>
    <row r="931" spans="3:20">
      <c r="C931" t="s">
        <v>58</v>
      </c>
      <c r="D931" t="s">
        <v>384</v>
      </c>
      <c r="F931" s="1" t="s">
        <v>2546</v>
      </c>
      <c r="H931" t="s">
        <v>85</v>
      </c>
      <c r="K931" t="s">
        <v>2548</v>
      </c>
      <c r="L931" s="7">
        <v>0.79900000000000004</v>
      </c>
      <c r="M931" s="8">
        <v>43861</v>
      </c>
      <c r="N931">
        <v>1</v>
      </c>
      <c r="O931" t="s">
        <v>67</v>
      </c>
      <c r="P931">
        <v>2020</v>
      </c>
      <c r="Q931">
        <v>0.16370000000000001</v>
      </c>
      <c r="R931" s="10"/>
      <c r="S931">
        <f>ROUND(ТабCЕС[[#This Row],[Зелений Тариф ЕЦ]]+ТабCЕС[[#This Row],[Зелений Тариф ЕЦ]]*ТабCЕС[[#This Row],[% надбавки]],4)</f>
        <v>0.16370000000000001</v>
      </c>
      <c r="T931" s="8"/>
    </row>
    <row r="932" spans="3:20">
      <c r="C932" t="s">
        <v>58</v>
      </c>
      <c r="D932" t="s">
        <v>384</v>
      </c>
      <c r="F932" s="1" t="s">
        <v>2549</v>
      </c>
      <c r="H932" t="s">
        <v>98</v>
      </c>
      <c r="K932" t="s">
        <v>2550</v>
      </c>
      <c r="L932" s="7">
        <v>0.747</v>
      </c>
      <c r="M932" s="8">
        <v>43861</v>
      </c>
      <c r="N932">
        <v>1</v>
      </c>
      <c r="O932" t="s">
        <v>67</v>
      </c>
      <c r="P932">
        <v>2020</v>
      </c>
      <c r="Q932">
        <v>0.16370000000000001</v>
      </c>
      <c r="R932" s="10"/>
      <c r="S932">
        <f>ROUND(ТабCЕС[[#This Row],[Зелений Тариф ЕЦ]]+ТабCЕС[[#This Row],[Зелений Тариф ЕЦ]]*ТабCЕС[[#This Row],[% надбавки]],4)</f>
        <v>0.16370000000000001</v>
      </c>
      <c r="T932" s="8"/>
    </row>
    <row r="933" spans="3:20">
      <c r="C933" t="s">
        <v>58</v>
      </c>
      <c r="D933" t="s">
        <v>384</v>
      </c>
      <c r="F933" s="1" t="s">
        <v>2551</v>
      </c>
      <c r="H933" t="s">
        <v>233</v>
      </c>
      <c r="K933" t="s">
        <v>2552</v>
      </c>
      <c r="L933" s="7">
        <v>0.17799999999999999</v>
      </c>
      <c r="M933" s="8">
        <v>43861</v>
      </c>
      <c r="N933">
        <v>1</v>
      </c>
      <c r="O933" t="s">
        <v>67</v>
      </c>
      <c r="P933">
        <v>2020</v>
      </c>
      <c r="Q933">
        <v>0.16370000000000001</v>
      </c>
      <c r="R933" s="10"/>
      <c r="S933">
        <f>ROUND(ТабCЕС[[#This Row],[Зелений Тариф ЕЦ]]+ТабCЕС[[#This Row],[Зелений Тариф ЕЦ]]*ТабCЕС[[#This Row],[% надбавки]],4)</f>
        <v>0.16370000000000001</v>
      </c>
      <c r="T933" s="8"/>
    </row>
    <row r="934" spans="3:20">
      <c r="C934" t="s">
        <v>58</v>
      </c>
      <c r="D934" t="s">
        <v>384</v>
      </c>
      <c r="F934" s="1" t="s">
        <v>2553</v>
      </c>
      <c r="H934" t="s">
        <v>122</v>
      </c>
      <c r="K934" t="s">
        <v>2554</v>
      </c>
      <c r="L934" s="7">
        <v>0.56799999999999995</v>
      </c>
      <c r="M934" s="8">
        <v>43861</v>
      </c>
      <c r="N934">
        <v>1</v>
      </c>
      <c r="O934" t="s">
        <v>67</v>
      </c>
      <c r="P934">
        <v>2020</v>
      </c>
      <c r="Q934">
        <v>0.16370000000000001</v>
      </c>
      <c r="R934" s="10"/>
      <c r="S934">
        <f>ROUND(ТабCЕС[[#This Row],[Зелений Тариф ЕЦ]]+ТабCЕС[[#This Row],[Зелений Тариф ЕЦ]]*ТабCЕС[[#This Row],[% надбавки]],4)</f>
        <v>0.16370000000000001</v>
      </c>
      <c r="T934" s="8"/>
    </row>
    <row r="935" spans="3:20">
      <c r="C935" t="s">
        <v>58</v>
      </c>
      <c r="D935" t="s">
        <v>384</v>
      </c>
      <c r="F935" s="1" t="s">
        <v>2555</v>
      </c>
      <c r="H935" t="s">
        <v>107</v>
      </c>
      <c r="K935" t="s">
        <v>2556</v>
      </c>
      <c r="L935" s="7">
        <v>0.27800000000000002</v>
      </c>
      <c r="M935" s="8">
        <v>43861</v>
      </c>
      <c r="N935">
        <v>1</v>
      </c>
      <c r="O935" t="s">
        <v>67</v>
      </c>
      <c r="P935">
        <v>2020</v>
      </c>
      <c r="Q935">
        <v>0.16370000000000001</v>
      </c>
      <c r="R935" s="10"/>
      <c r="S935">
        <f>ROUND(ТабCЕС[[#This Row],[Зелений Тариф ЕЦ]]+ТабCЕС[[#This Row],[Зелений Тариф ЕЦ]]*ТабCЕС[[#This Row],[% надбавки]],4)</f>
        <v>0.16370000000000001</v>
      </c>
      <c r="T935" s="8"/>
    </row>
    <row r="936" spans="3:20">
      <c r="C936" t="s">
        <v>58</v>
      </c>
      <c r="D936" t="s">
        <v>384</v>
      </c>
      <c r="F936" s="1" t="s">
        <v>2557</v>
      </c>
      <c r="H936" t="s">
        <v>198</v>
      </c>
      <c r="K936" t="s">
        <v>2558</v>
      </c>
      <c r="L936" s="7">
        <v>0.58799999999999997</v>
      </c>
      <c r="M936" s="8">
        <v>43861</v>
      </c>
      <c r="N936">
        <v>1</v>
      </c>
      <c r="O936" t="s">
        <v>67</v>
      </c>
      <c r="P936">
        <v>2020</v>
      </c>
      <c r="Q936">
        <v>0.16370000000000001</v>
      </c>
      <c r="R936" s="10"/>
      <c r="S936">
        <f>ROUND(ТабCЕС[[#This Row],[Зелений Тариф ЕЦ]]+ТабCЕС[[#This Row],[Зелений Тариф ЕЦ]]*ТабCЕС[[#This Row],[% надбавки]],4)</f>
        <v>0.16370000000000001</v>
      </c>
      <c r="T936" s="8"/>
    </row>
    <row r="937" spans="3:20">
      <c r="C937" t="s">
        <v>58</v>
      </c>
      <c r="D937" t="s">
        <v>384</v>
      </c>
      <c r="F937" s="1" t="s">
        <v>2559</v>
      </c>
      <c r="H937" t="s">
        <v>185</v>
      </c>
      <c r="K937" t="s">
        <v>2560</v>
      </c>
      <c r="L937" s="7">
        <v>1.0549999999999999</v>
      </c>
      <c r="M937" s="8">
        <v>43861</v>
      </c>
      <c r="N937">
        <v>1</v>
      </c>
      <c r="O937" t="s">
        <v>67</v>
      </c>
      <c r="P937">
        <v>2020</v>
      </c>
      <c r="Q937">
        <v>0.15029999999999999</v>
      </c>
      <c r="R937" s="10"/>
      <c r="S937">
        <f>ROUND(ТабCЕС[[#This Row],[Зелений Тариф ЕЦ]]+ТабCЕС[[#This Row],[Зелений Тариф ЕЦ]]*ТабCЕС[[#This Row],[% надбавки]],4)</f>
        <v>0.15029999999999999</v>
      </c>
      <c r="T937" s="8"/>
    </row>
    <row r="938" spans="3:20">
      <c r="C938" t="s">
        <v>58</v>
      </c>
      <c r="D938" t="s">
        <v>384</v>
      </c>
      <c r="F938" s="1" t="s">
        <v>2561</v>
      </c>
      <c r="H938" t="s">
        <v>65</v>
      </c>
      <c r="K938" t="s">
        <v>2562</v>
      </c>
      <c r="L938" s="7">
        <v>8.8999999999999996E-2</v>
      </c>
      <c r="M938" s="8">
        <v>43861</v>
      </c>
      <c r="N938">
        <v>1</v>
      </c>
      <c r="O938" t="s">
        <v>67</v>
      </c>
      <c r="P938">
        <v>2020</v>
      </c>
      <c r="Q938">
        <v>0.16370000000000001</v>
      </c>
      <c r="R938" s="10"/>
      <c r="S938">
        <f>ROUND(ТабCЕС[[#This Row],[Зелений Тариф ЕЦ]]+ТабCЕС[[#This Row],[Зелений Тариф ЕЦ]]*ТабCЕС[[#This Row],[% надбавки]],4)</f>
        <v>0.16370000000000001</v>
      </c>
      <c r="T938" s="8"/>
    </row>
    <row r="939" spans="3:20">
      <c r="C939" t="s">
        <v>58</v>
      </c>
      <c r="D939" t="s">
        <v>384</v>
      </c>
      <c r="F939" s="1" t="s">
        <v>2563</v>
      </c>
      <c r="H939" t="s">
        <v>65</v>
      </c>
      <c r="K939" t="s">
        <v>2564</v>
      </c>
      <c r="L939" s="7">
        <v>1.67</v>
      </c>
      <c r="M939" s="8">
        <v>43868</v>
      </c>
      <c r="N939">
        <v>2</v>
      </c>
      <c r="O939" t="s">
        <v>67</v>
      </c>
      <c r="P939">
        <v>2020</v>
      </c>
      <c r="Q939">
        <v>0.15029999999999999</v>
      </c>
      <c r="R939" s="10"/>
      <c r="S939">
        <f>ROUND(ТабCЕС[[#This Row],[Зелений Тариф ЕЦ]]+ТабCЕС[[#This Row],[Зелений Тариф ЕЦ]]*ТабCЕС[[#This Row],[% надбавки]],4)</f>
        <v>0.15029999999999999</v>
      </c>
      <c r="T939" s="8"/>
    </row>
    <row r="940" spans="3:20">
      <c r="C940" t="s">
        <v>58</v>
      </c>
      <c r="D940" t="s">
        <v>384</v>
      </c>
      <c r="F940" s="1" t="s">
        <v>2565</v>
      </c>
      <c r="H940" t="s">
        <v>122</v>
      </c>
      <c r="K940" t="s">
        <v>2566</v>
      </c>
      <c r="L940" s="22">
        <v>2.927</v>
      </c>
      <c r="M940" s="8">
        <v>43868</v>
      </c>
      <c r="N940">
        <v>2</v>
      </c>
      <c r="O940" t="s">
        <v>67</v>
      </c>
      <c r="P940">
        <v>2020</v>
      </c>
      <c r="Q940">
        <v>0.15029999999999999</v>
      </c>
      <c r="R940" s="10"/>
      <c r="S940">
        <f>ROUND(ТабCЕС[[#This Row],[Зелений Тариф ЕЦ]]+ТабCЕС[[#This Row],[Зелений Тариф ЕЦ]]*ТабCЕС[[#This Row],[% надбавки]],4)</f>
        <v>0.15029999999999999</v>
      </c>
      <c r="T940" s="8"/>
    </row>
    <row r="941" spans="3:20">
      <c r="C941" t="s">
        <v>58</v>
      </c>
      <c r="D941" t="s">
        <v>384</v>
      </c>
      <c r="F941" s="1" t="s">
        <v>2567</v>
      </c>
      <c r="H941" t="s">
        <v>136</v>
      </c>
      <c r="K941" t="s">
        <v>2568</v>
      </c>
      <c r="L941" s="22">
        <v>1.633</v>
      </c>
      <c r="M941" s="8">
        <v>43868</v>
      </c>
      <c r="N941">
        <v>2</v>
      </c>
      <c r="O941" t="s">
        <v>67</v>
      </c>
      <c r="P941">
        <v>2020</v>
      </c>
      <c r="Q941">
        <v>0.15029999999999999</v>
      </c>
      <c r="R941" s="10"/>
      <c r="S941">
        <f>ROUND(ТабCЕС[[#This Row],[Зелений Тариф ЕЦ]]+ТабCЕС[[#This Row],[Зелений Тариф ЕЦ]]*ТабCЕС[[#This Row],[% надбавки]],4)</f>
        <v>0.15029999999999999</v>
      </c>
      <c r="T941" s="8"/>
    </row>
    <row r="942" spans="3:20">
      <c r="C942" t="s">
        <v>58</v>
      </c>
      <c r="D942" t="s">
        <v>384</v>
      </c>
      <c r="F942" s="1" t="s">
        <v>2569</v>
      </c>
      <c r="H942" t="s">
        <v>1257</v>
      </c>
      <c r="K942" t="s">
        <v>2570</v>
      </c>
      <c r="L942" s="22">
        <v>0.35499999999999998</v>
      </c>
      <c r="M942" s="8">
        <v>43868</v>
      </c>
      <c r="N942">
        <v>2</v>
      </c>
      <c r="O942" t="s">
        <v>67</v>
      </c>
      <c r="P942">
        <v>2020</v>
      </c>
      <c r="Q942">
        <v>0.16370000000000001</v>
      </c>
      <c r="R942" s="10"/>
      <c r="S942">
        <f>ROUND(ТабCЕС[[#This Row],[Зелений Тариф ЕЦ]]+ТабCЕС[[#This Row],[Зелений Тариф ЕЦ]]*ТабCЕС[[#This Row],[% надбавки]],4)</f>
        <v>0.16370000000000001</v>
      </c>
      <c r="T942" s="8"/>
    </row>
    <row r="943" spans="3:20">
      <c r="C943" t="s">
        <v>58</v>
      </c>
      <c r="D943" t="s">
        <v>384</v>
      </c>
      <c r="F943" s="1" t="s">
        <v>2297</v>
      </c>
      <c r="H943" t="s">
        <v>198</v>
      </c>
      <c r="K943" t="s">
        <v>2571</v>
      </c>
      <c r="L943" s="22">
        <v>0.39300000000000002</v>
      </c>
      <c r="M943" s="8">
        <v>43868</v>
      </c>
      <c r="N943">
        <v>2</v>
      </c>
      <c r="O943" t="s">
        <v>67</v>
      </c>
      <c r="P943">
        <v>2020</v>
      </c>
      <c r="Q943">
        <v>0.16370000000000001</v>
      </c>
      <c r="R943" s="10"/>
      <c r="S943">
        <f>ROUND(ТабCЕС[[#This Row],[Зелений Тариф ЕЦ]]+ТабCЕС[[#This Row],[Зелений Тариф ЕЦ]]*ТабCЕС[[#This Row],[% надбавки]],4)</f>
        <v>0.16370000000000001</v>
      </c>
      <c r="T943" s="8"/>
    </row>
    <row r="944" spans="3:20">
      <c r="C944" t="s">
        <v>58</v>
      </c>
      <c r="D944" t="s">
        <v>384</v>
      </c>
      <c r="F944" s="1" t="s">
        <v>2572</v>
      </c>
      <c r="H944" t="s">
        <v>185</v>
      </c>
      <c r="K944" t="s">
        <v>2573</v>
      </c>
      <c r="L944" s="22">
        <v>0.38600000000000001</v>
      </c>
      <c r="M944" s="8">
        <v>43875</v>
      </c>
      <c r="N944">
        <v>2</v>
      </c>
      <c r="O944" t="s">
        <v>67</v>
      </c>
      <c r="P944">
        <v>2020</v>
      </c>
      <c r="Q944">
        <v>0.15029999999999999</v>
      </c>
      <c r="R944" s="10"/>
      <c r="S944">
        <f>ROUND(ТабCЕС[[#This Row],[Зелений Тариф ЕЦ]]+ТабCЕС[[#This Row],[Зелений Тариф ЕЦ]]*ТабCЕС[[#This Row],[% надбавки]],4)</f>
        <v>0.15029999999999999</v>
      </c>
      <c r="T944" s="8"/>
    </row>
    <row r="945" spans="3:20">
      <c r="C945" t="s">
        <v>58</v>
      </c>
      <c r="D945" t="s">
        <v>384</v>
      </c>
      <c r="F945" s="1" t="s">
        <v>2574</v>
      </c>
      <c r="H945" t="s">
        <v>172</v>
      </c>
      <c r="K945" t="s">
        <v>2575</v>
      </c>
      <c r="L945" s="22">
        <v>7.6230000000000002</v>
      </c>
      <c r="M945" s="8">
        <v>43875</v>
      </c>
      <c r="N945">
        <v>2</v>
      </c>
      <c r="O945" t="s">
        <v>67</v>
      </c>
      <c r="P945">
        <v>2020</v>
      </c>
      <c r="Q945">
        <v>0.15029999999999999</v>
      </c>
      <c r="R945" s="10"/>
      <c r="S945">
        <f>ROUND(ТабCЕС[[#This Row],[Зелений Тариф ЕЦ]]+ТабCЕС[[#This Row],[Зелений Тариф ЕЦ]]*ТабCЕС[[#This Row],[% надбавки]],4)</f>
        <v>0.15029999999999999</v>
      </c>
      <c r="T945" s="8"/>
    </row>
    <row r="946" spans="3:20">
      <c r="C946" t="s">
        <v>58</v>
      </c>
      <c r="D946" t="s">
        <v>384</v>
      </c>
      <c r="F946" s="1" t="s">
        <v>2576</v>
      </c>
      <c r="H946" t="s">
        <v>101</v>
      </c>
      <c r="K946" t="s">
        <v>2577</v>
      </c>
      <c r="L946" s="22">
        <v>3.5990000000000002</v>
      </c>
      <c r="M946" s="8">
        <v>43875</v>
      </c>
      <c r="N946">
        <v>2</v>
      </c>
      <c r="O946" t="s">
        <v>67</v>
      </c>
      <c r="P946">
        <v>2020</v>
      </c>
      <c r="Q946">
        <v>0.15029999999999999</v>
      </c>
      <c r="R946" s="10"/>
      <c r="S946">
        <f>ROUND(ТабCЕС[[#This Row],[Зелений Тариф ЕЦ]]+ТабCЕС[[#This Row],[Зелений Тариф ЕЦ]]*ТабCЕС[[#This Row],[% надбавки]],4)</f>
        <v>0.15029999999999999</v>
      </c>
      <c r="T946" s="8"/>
    </row>
    <row r="947" spans="3:20">
      <c r="C947" t="s">
        <v>58</v>
      </c>
      <c r="D947" t="s">
        <v>384</v>
      </c>
      <c r="F947" s="1" t="s">
        <v>2578</v>
      </c>
      <c r="H947" t="s">
        <v>101</v>
      </c>
      <c r="K947" t="s">
        <v>2579</v>
      </c>
      <c r="L947" s="22">
        <v>6.2590000000000003</v>
      </c>
      <c r="M947" s="8">
        <v>43875</v>
      </c>
      <c r="N947">
        <v>2</v>
      </c>
      <c r="O947" t="s">
        <v>67</v>
      </c>
      <c r="P947">
        <v>2020</v>
      </c>
      <c r="Q947">
        <v>0.15029999999999999</v>
      </c>
      <c r="R947" s="10"/>
      <c r="S947">
        <f>ROUND(ТабCЕС[[#This Row],[Зелений Тариф ЕЦ]]+ТабCЕС[[#This Row],[Зелений Тариф ЕЦ]]*ТабCЕС[[#This Row],[% надбавки]],4)</f>
        <v>0.15029999999999999</v>
      </c>
      <c r="T947" s="8"/>
    </row>
    <row r="948" spans="3:20">
      <c r="C948" t="s">
        <v>58</v>
      </c>
      <c r="D948" t="s">
        <v>384</v>
      </c>
      <c r="F948" s="1" t="s">
        <v>2580</v>
      </c>
      <c r="H948" t="s">
        <v>163</v>
      </c>
      <c r="K948" t="s">
        <v>2581</v>
      </c>
      <c r="L948" s="22">
        <v>3.536</v>
      </c>
      <c r="M948" s="8">
        <v>43875</v>
      </c>
      <c r="N948">
        <v>2</v>
      </c>
      <c r="O948" t="s">
        <v>67</v>
      </c>
      <c r="P948">
        <v>2020</v>
      </c>
      <c r="Q948">
        <v>0.15029999999999999</v>
      </c>
      <c r="R948" s="10"/>
      <c r="S948">
        <f>ROUND(ТабCЕС[[#This Row],[Зелений Тариф ЕЦ]]+ТабCЕС[[#This Row],[Зелений Тариф ЕЦ]]*ТабCЕС[[#This Row],[% надбавки]],4)</f>
        <v>0.15029999999999999</v>
      </c>
      <c r="T948" s="8"/>
    </row>
    <row r="949" spans="3:20">
      <c r="C949" t="s">
        <v>58</v>
      </c>
      <c r="D949" t="s">
        <v>384</v>
      </c>
      <c r="F949" s="1" t="s">
        <v>2582</v>
      </c>
      <c r="H949" t="s">
        <v>163</v>
      </c>
      <c r="K949" t="s">
        <v>2583</v>
      </c>
      <c r="L949" s="22">
        <v>2.859</v>
      </c>
      <c r="M949" s="8">
        <v>43875</v>
      </c>
      <c r="N949">
        <v>2</v>
      </c>
      <c r="O949" t="s">
        <v>67</v>
      </c>
      <c r="P949">
        <v>2020</v>
      </c>
      <c r="Q949">
        <v>0.15029999999999999</v>
      </c>
      <c r="R949" s="10"/>
      <c r="S949">
        <f>ROUND(ТабCЕС[[#This Row],[Зелений Тариф ЕЦ]]+ТабCЕС[[#This Row],[Зелений Тариф ЕЦ]]*ТабCЕС[[#This Row],[% надбавки]],4)</f>
        <v>0.15029999999999999</v>
      </c>
      <c r="T949" s="8"/>
    </row>
    <row r="950" spans="3:20" ht="25.5">
      <c r="C950" t="s">
        <v>58</v>
      </c>
      <c r="D950" t="s">
        <v>384</v>
      </c>
      <c r="F950" s="1" t="s">
        <v>2584</v>
      </c>
      <c r="H950" t="s">
        <v>122</v>
      </c>
      <c r="K950" t="s">
        <v>2585</v>
      </c>
      <c r="L950" s="22">
        <v>4.2000000000000003E-2</v>
      </c>
      <c r="M950" s="8">
        <v>43875</v>
      </c>
      <c r="N950">
        <v>2</v>
      </c>
      <c r="O950" t="s">
        <v>67</v>
      </c>
      <c r="P950">
        <v>2020</v>
      </c>
      <c r="Q950">
        <v>0.16370000000000001</v>
      </c>
      <c r="R950" s="10"/>
      <c r="S950">
        <f>ROUND(ТабCЕС[[#This Row],[Зелений Тариф ЕЦ]]+ТабCЕС[[#This Row],[Зелений Тариф ЕЦ]]*ТабCЕС[[#This Row],[% надбавки]],4)</f>
        <v>0.16370000000000001</v>
      </c>
      <c r="T950" s="8"/>
    </row>
    <row r="951" spans="3:20">
      <c r="C951" t="s">
        <v>58</v>
      </c>
      <c r="D951" t="s">
        <v>384</v>
      </c>
      <c r="F951" s="1" t="s">
        <v>2586</v>
      </c>
      <c r="H951" t="s">
        <v>122</v>
      </c>
      <c r="K951" t="s">
        <v>2587</v>
      </c>
      <c r="L951" s="22">
        <v>0.09</v>
      </c>
      <c r="M951" s="8">
        <v>43875</v>
      </c>
      <c r="N951">
        <v>2</v>
      </c>
      <c r="O951" t="s">
        <v>67</v>
      </c>
      <c r="P951">
        <v>2020</v>
      </c>
      <c r="Q951">
        <v>0.16370000000000001</v>
      </c>
      <c r="R951" s="10"/>
      <c r="S951">
        <f>ROUND(ТабCЕС[[#This Row],[Зелений Тариф ЕЦ]]+ТабCЕС[[#This Row],[Зелений Тариф ЕЦ]]*ТабCЕС[[#This Row],[% надбавки]],4)</f>
        <v>0.16370000000000001</v>
      </c>
      <c r="T951" s="8"/>
    </row>
    <row r="952" spans="3:20">
      <c r="C952" t="s">
        <v>58</v>
      </c>
      <c r="D952" t="s">
        <v>384</v>
      </c>
      <c r="F952" s="1" t="s">
        <v>2329</v>
      </c>
      <c r="H952" t="s">
        <v>122</v>
      </c>
      <c r="K952" t="s">
        <v>2588</v>
      </c>
      <c r="L952" s="22">
        <v>19.774999999999999</v>
      </c>
      <c r="M952" s="8">
        <v>43875</v>
      </c>
      <c r="N952">
        <v>2</v>
      </c>
      <c r="O952" t="s">
        <v>67</v>
      </c>
      <c r="P952">
        <v>2020</v>
      </c>
      <c r="Q952">
        <v>0.15029999999999999</v>
      </c>
      <c r="R952" s="10"/>
      <c r="S952">
        <f>ROUND(ТабCЕС[[#This Row],[Зелений Тариф ЕЦ]]+ТабCЕС[[#This Row],[Зелений Тариф ЕЦ]]*ТабCЕС[[#This Row],[% надбавки]],4)</f>
        <v>0.15029999999999999</v>
      </c>
      <c r="T952" s="8"/>
    </row>
    <row r="953" spans="3:20" ht="25.5">
      <c r="C953" t="s">
        <v>58</v>
      </c>
      <c r="D953" t="s">
        <v>384</v>
      </c>
      <c r="F953" s="1" t="s">
        <v>2589</v>
      </c>
      <c r="H953" t="s">
        <v>107</v>
      </c>
      <c r="K953" t="s">
        <v>2590</v>
      </c>
      <c r="L953" s="22">
        <v>2.3759999999999999</v>
      </c>
      <c r="M953" s="8">
        <v>43875</v>
      </c>
      <c r="N953">
        <v>2</v>
      </c>
      <c r="O953" t="s">
        <v>67</v>
      </c>
      <c r="P953">
        <v>2020</v>
      </c>
      <c r="Q953">
        <v>0.15029999999999999</v>
      </c>
      <c r="R953" s="10"/>
      <c r="S953">
        <f>ROUND(ТабCЕС[[#This Row],[Зелений Тариф ЕЦ]]+ТабCЕС[[#This Row],[Зелений Тариф ЕЦ]]*ТабCЕС[[#This Row],[% надбавки]],4)</f>
        <v>0.15029999999999999</v>
      </c>
      <c r="T953" s="8"/>
    </row>
    <row r="954" spans="3:20">
      <c r="C954" t="s">
        <v>58</v>
      </c>
      <c r="D954" t="s">
        <v>384</v>
      </c>
      <c r="F954" s="1" t="s">
        <v>1711</v>
      </c>
      <c r="H954" t="s">
        <v>141</v>
      </c>
      <c r="K954" t="s">
        <v>2591</v>
      </c>
      <c r="L954" s="22">
        <v>0.60299999999999998</v>
      </c>
      <c r="M954" s="8">
        <v>43875</v>
      </c>
      <c r="N954">
        <v>2</v>
      </c>
      <c r="O954" t="s">
        <v>67</v>
      </c>
      <c r="P954">
        <v>2020</v>
      </c>
      <c r="Q954">
        <v>0.15029999999999999</v>
      </c>
      <c r="R954" s="10"/>
      <c r="S954">
        <f>ROUND(ТабCЕС[[#This Row],[Зелений Тариф ЕЦ]]+ТабCЕС[[#This Row],[Зелений Тариф ЕЦ]]*ТабCЕС[[#This Row],[% надбавки]],4)</f>
        <v>0.15029999999999999</v>
      </c>
      <c r="T954" s="8"/>
    </row>
    <row r="955" spans="3:20">
      <c r="C955" t="s">
        <v>58</v>
      </c>
      <c r="D955" t="s">
        <v>384</v>
      </c>
      <c r="F955" s="1" t="s">
        <v>2592</v>
      </c>
      <c r="H955" t="s">
        <v>255</v>
      </c>
      <c r="K955" t="s">
        <v>2593</v>
      </c>
      <c r="L955" s="22">
        <v>0.49</v>
      </c>
      <c r="M955" s="8">
        <v>43875</v>
      </c>
      <c r="N955">
        <v>2</v>
      </c>
      <c r="O955" t="s">
        <v>67</v>
      </c>
      <c r="P955">
        <v>2020</v>
      </c>
      <c r="Q955">
        <v>0.15029999999999999</v>
      </c>
      <c r="R955" s="10"/>
      <c r="S955">
        <f>ROUND(ТабCЕС[[#This Row],[Зелений Тариф ЕЦ]]+ТабCЕС[[#This Row],[Зелений Тариф ЕЦ]]*ТабCЕС[[#This Row],[% надбавки]],4)</f>
        <v>0.15029999999999999</v>
      </c>
      <c r="T955" s="8"/>
    </row>
    <row r="956" spans="3:20">
      <c r="C956" t="s">
        <v>58</v>
      </c>
      <c r="D956" t="s">
        <v>384</v>
      </c>
      <c r="F956" s="1" t="s">
        <v>2594</v>
      </c>
      <c r="H956" t="s">
        <v>73</v>
      </c>
      <c r="K956" t="s">
        <v>2595</v>
      </c>
      <c r="L956" s="22">
        <v>0.6</v>
      </c>
      <c r="M956" s="8">
        <v>43875</v>
      </c>
      <c r="N956">
        <v>2</v>
      </c>
      <c r="O956" t="s">
        <v>67</v>
      </c>
      <c r="P956">
        <v>2020</v>
      </c>
      <c r="Q956">
        <v>0.16370000000000001</v>
      </c>
      <c r="R956" s="10"/>
      <c r="S956">
        <f>ROUND(ТабCЕС[[#This Row],[Зелений Тариф ЕЦ]]+ТабCЕС[[#This Row],[Зелений Тариф ЕЦ]]*ТабCЕС[[#This Row],[% надбавки]],4)</f>
        <v>0.16370000000000001</v>
      </c>
      <c r="T956" s="8"/>
    </row>
    <row r="957" spans="3:20">
      <c r="C957" t="s">
        <v>58</v>
      </c>
      <c r="D957" t="s">
        <v>384</v>
      </c>
      <c r="F957" s="1" t="s">
        <v>2596</v>
      </c>
      <c r="H957" t="s">
        <v>98</v>
      </c>
      <c r="K957" t="s">
        <v>2597</v>
      </c>
      <c r="L957" s="22">
        <v>0.52200000000000002</v>
      </c>
      <c r="M957" s="8">
        <v>43875</v>
      </c>
      <c r="N957">
        <v>2</v>
      </c>
      <c r="O957" t="s">
        <v>67</v>
      </c>
      <c r="P957">
        <v>2020</v>
      </c>
      <c r="Q957">
        <v>0.16370000000000001</v>
      </c>
      <c r="R957" s="10"/>
      <c r="S957">
        <f>ROUND(ТабCЕС[[#This Row],[Зелений Тариф ЕЦ]]+ТабCЕС[[#This Row],[Зелений Тариф ЕЦ]]*ТабCЕС[[#This Row],[% надбавки]],4)</f>
        <v>0.16370000000000001</v>
      </c>
      <c r="T957" s="8"/>
    </row>
    <row r="958" spans="3:20">
      <c r="C958" t="s">
        <v>58</v>
      </c>
      <c r="D958" t="s">
        <v>384</v>
      </c>
      <c r="F958" s="1" t="s">
        <v>2598</v>
      </c>
      <c r="H958" t="s">
        <v>198</v>
      </c>
      <c r="K958" t="s">
        <v>2599</v>
      </c>
      <c r="L958" s="22">
        <v>1.147</v>
      </c>
      <c r="M958" s="8">
        <v>43875</v>
      </c>
      <c r="N958">
        <v>2</v>
      </c>
      <c r="O958" t="s">
        <v>67</v>
      </c>
      <c r="P958">
        <v>2020</v>
      </c>
      <c r="Q958">
        <v>0.16370000000000001</v>
      </c>
      <c r="R958" s="10"/>
      <c r="S958">
        <f>ROUND(ТабCЕС[[#This Row],[Зелений Тариф ЕЦ]]+ТабCЕС[[#This Row],[Зелений Тариф ЕЦ]]*ТабCЕС[[#This Row],[% надбавки]],4)</f>
        <v>0.16370000000000001</v>
      </c>
      <c r="T958" s="8"/>
    </row>
    <row r="959" spans="3:20">
      <c r="C959" t="s">
        <v>58</v>
      </c>
      <c r="D959" t="s">
        <v>384</v>
      </c>
      <c r="F959" s="1" t="s">
        <v>2600</v>
      </c>
      <c r="H959" t="s">
        <v>65</v>
      </c>
      <c r="K959" t="s">
        <v>2601</v>
      </c>
      <c r="L959" s="22">
        <v>2.1389999999999998</v>
      </c>
      <c r="M959" s="8">
        <v>43879</v>
      </c>
      <c r="N959">
        <v>2</v>
      </c>
      <c r="O959" t="s">
        <v>67</v>
      </c>
      <c r="P959">
        <v>2020</v>
      </c>
      <c r="Q959">
        <v>0.15029999999999999</v>
      </c>
      <c r="R959" s="10"/>
      <c r="S959">
        <f>ROUND(ТабCЕС[[#This Row],[Зелений Тариф ЕЦ]]+ТабCЕС[[#This Row],[Зелений Тариф ЕЦ]]*ТабCЕС[[#This Row],[% надбавки]],4)</f>
        <v>0.15029999999999999</v>
      </c>
      <c r="T959" s="8"/>
    </row>
    <row r="960" spans="3:20">
      <c r="C960" t="s">
        <v>58</v>
      </c>
      <c r="D960" t="s">
        <v>384</v>
      </c>
      <c r="F960" s="1" t="s">
        <v>2602</v>
      </c>
      <c r="H960" t="s">
        <v>233</v>
      </c>
      <c r="K960" t="s">
        <v>2603</v>
      </c>
      <c r="L960" s="22">
        <v>6.0590000000000002</v>
      </c>
      <c r="M960" s="8">
        <v>43879</v>
      </c>
      <c r="N960">
        <v>2</v>
      </c>
      <c r="O960" t="s">
        <v>67</v>
      </c>
      <c r="P960">
        <v>2020</v>
      </c>
      <c r="Q960">
        <v>0.15029999999999999</v>
      </c>
      <c r="R960" s="10"/>
      <c r="S960">
        <f>ROUND(ТабCЕС[[#This Row],[Зелений Тариф ЕЦ]]+ТабCЕС[[#This Row],[Зелений Тариф ЕЦ]]*ТабCЕС[[#This Row],[% надбавки]],4)</f>
        <v>0.15029999999999999</v>
      </c>
      <c r="T960" s="8"/>
    </row>
    <row r="961" spans="3:20">
      <c r="C961" t="s">
        <v>58</v>
      </c>
      <c r="D961" t="s">
        <v>384</v>
      </c>
      <c r="F961" s="1" t="s">
        <v>2604</v>
      </c>
      <c r="H961" t="s">
        <v>141</v>
      </c>
      <c r="K961" t="s">
        <v>2605</v>
      </c>
      <c r="L961" s="22">
        <v>6.2510000000000003</v>
      </c>
      <c r="M961" s="8">
        <v>43879</v>
      </c>
      <c r="N961">
        <v>2</v>
      </c>
      <c r="O961" t="s">
        <v>67</v>
      </c>
      <c r="P961">
        <v>2020</v>
      </c>
      <c r="Q961">
        <v>0.11260000000000001</v>
      </c>
      <c r="R961" s="10"/>
      <c r="S961">
        <f>ROUND(ТабCЕС[[#This Row],[Зелений Тариф ЕЦ]]+ТабCЕС[[#This Row],[Зелений Тариф ЕЦ]]*ТабCЕС[[#This Row],[% надбавки]],4)</f>
        <v>0.11260000000000001</v>
      </c>
      <c r="T961" s="8"/>
    </row>
    <row r="962" spans="3:20">
      <c r="C962" t="s">
        <v>58</v>
      </c>
      <c r="D962" t="s">
        <v>384</v>
      </c>
      <c r="F962" s="1" t="s">
        <v>2606</v>
      </c>
      <c r="H962" t="s">
        <v>1465</v>
      </c>
      <c r="K962" t="s">
        <v>2607</v>
      </c>
      <c r="L962" s="22">
        <v>0.2</v>
      </c>
      <c r="M962" s="8">
        <v>43879</v>
      </c>
      <c r="N962">
        <v>2</v>
      </c>
      <c r="O962" t="s">
        <v>67</v>
      </c>
      <c r="P962">
        <v>2020</v>
      </c>
      <c r="Q962">
        <v>0.12280000000000001</v>
      </c>
      <c r="R962" s="10"/>
      <c r="S962">
        <f>ROUND(ТабCЕС[[#This Row],[Зелений Тариф ЕЦ]]+ТабCЕС[[#This Row],[Зелений Тариф ЕЦ]]*ТабCЕС[[#This Row],[% надбавки]],4)</f>
        <v>0.12280000000000001</v>
      </c>
      <c r="T962" s="8"/>
    </row>
    <row r="963" spans="3:20">
      <c r="C963" t="s">
        <v>58</v>
      </c>
      <c r="D963" t="s">
        <v>384</v>
      </c>
      <c r="F963" s="1" t="s">
        <v>2608</v>
      </c>
      <c r="H963" t="s">
        <v>176</v>
      </c>
      <c r="K963" t="s">
        <v>2609</v>
      </c>
      <c r="L963" s="22">
        <v>3.077</v>
      </c>
      <c r="M963" s="8">
        <v>43879</v>
      </c>
      <c r="N963">
        <v>2</v>
      </c>
      <c r="O963" t="s">
        <v>67</v>
      </c>
      <c r="P963">
        <v>2020</v>
      </c>
      <c r="Q963">
        <v>0.15029999999999999</v>
      </c>
      <c r="R963" s="10"/>
      <c r="S963">
        <f>ROUND(ТабCЕС[[#This Row],[Зелений Тариф ЕЦ]]+ТабCЕС[[#This Row],[Зелений Тариф ЕЦ]]*ТабCЕС[[#This Row],[% надбавки]],4)</f>
        <v>0.15029999999999999</v>
      </c>
      <c r="T963" s="8"/>
    </row>
    <row r="964" spans="3:20">
      <c r="C964" t="s">
        <v>58</v>
      </c>
      <c r="D964" t="s">
        <v>384</v>
      </c>
      <c r="F964" s="1" t="s">
        <v>2045</v>
      </c>
      <c r="H964" t="s">
        <v>69</v>
      </c>
      <c r="K964" t="s">
        <v>2610</v>
      </c>
      <c r="L964" s="22">
        <v>0.52300000000000002</v>
      </c>
      <c r="M964" s="8">
        <v>43879</v>
      </c>
      <c r="N964">
        <v>2</v>
      </c>
      <c r="O964" t="s">
        <v>67</v>
      </c>
      <c r="P964">
        <v>2020</v>
      </c>
      <c r="Q964">
        <v>0.16370000000000001</v>
      </c>
      <c r="R964" s="10"/>
      <c r="S964">
        <f>ROUND(ТабCЕС[[#This Row],[Зелений Тариф ЕЦ]]+ТабCЕС[[#This Row],[Зелений Тариф ЕЦ]]*ТабCЕС[[#This Row],[% надбавки]],4)</f>
        <v>0.16370000000000001</v>
      </c>
      <c r="T964" s="8"/>
    </row>
    <row r="965" spans="3:20">
      <c r="C965" t="s">
        <v>58</v>
      </c>
      <c r="D965" t="s">
        <v>384</v>
      </c>
      <c r="F965" s="1" t="s">
        <v>2611</v>
      </c>
      <c r="H965" t="s">
        <v>107</v>
      </c>
      <c r="K965" t="s">
        <v>2612</v>
      </c>
      <c r="L965" s="22">
        <v>5.8319999999999999</v>
      </c>
      <c r="M965" s="8">
        <v>43879</v>
      </c>
      <c r="N965">
        <v>2</v>
      </c>
      <c r="O965" t="s">
        <v>67</v>
      </c>
      <c r="P965">
        <v>2020</v>
      </c>
      <c r="Q965">
        <v>0.15029999999999999</v>
      </c>
      <c r="R965" s="10"/>
      <c r="S965">
        <f>ROUND(ТабCЕС[[#This Row],[Зелений Тариф ЕЦ]]+ТабCЕС[[#This Row],[Зелений Тариф ЕЦ]]*ТабCЕС[[#This Row],[% надбавки]],4)</f>
        <v>0.15029999999999999</v>
      </c>
      <c r="T965" s="8"/>
    </row>
    <row r="966" spans="3:20">
      <c r="C966" t="s">
        <v>58</v>
      </c>
      <c r="D966" t="s">
        <v>384</v>
      </c>
      <c r="F966" s="1" t="s">
        <v>2613</v>
      </c>
      <c r="H966" t="s">
        <v>107</v>
      </c>
      <c r="K966" t="s">
        <v>2614</v>
      </c>
      <c r="L966" s="22">
        <v>54.264000000000003</v>
      </c>
      <c r="M966" s="8">
        <v>43882</v>
      </c>
      <c r="N966">
        <v>2</v>
      </c>
      <c r="O966" t="s">
        <v>67</v>
      </c>
      <c r="P966">
        <v>2020</v>
      </c>
      <c r="Q966">
        <v>0.15029999999999999</v>
      </c>
      <c r="R966" s="10"/>
      <c r="S966">
        <f>ROUND(ТабCЕС[[#This Row],[Зелений Тариф ЕЦ]]+ТабCЕС[[#This Row],[Зелений Тариф ЕЦ]]*ТабCЕС[[#This Row],[% надбавки]],4)</f>
        <v>0.15029999999999999</v>
      </c>
      <c r="T966" s="8"/>
    </row>
    <row r="967" spans="3:20">
      <c r="C967" t="s">
        <v>58</v>
      </c>
      <c r="D967" t="s">
        <v>384</v>
      </c>
      <c r="F967" s="1" t="s">
        <v>2615</v>
      </c>
      <c r="H967" t="s">
        <v>65</v>
      </c>
      <c r="K967" t="s">
        <v>2616</v>
      </c>
      <c r="L967" s="22">
        <v>11.592000000000001</v>
      </c>
      <c r="M967" s="8">
        <v>43882</v>
      </c>
      <c r="N967">
        <v>2</v>
      </c>
      <c r="O967" t="s">
        <v>67</v>
      </c>
      <c r="P967">
        <v>2020</v>
      </c>
      <c r="Q967">
        <v>0.15029999999999999</v>
      </c>
      <c r="R967" s="10"/>
      <c r="S967">
        <f>ROUND(ТабCЕС[[#This Row],[Зелений Тариф ЕЦ]]+ТабCЕС[[#This Row],[Зелений Тариф ЕЦ]]*ТабCЕС[[#This Row],[% надбавки]],4)</f>
        <v>0.15029999999999999</v>
      </c>
      <c r="T967" s="8"/>
    </row>
    <row r="968" spans="3:20">
      <c r="C968" t="s">
        <v>58</v>
      </c>
      <c r="D968" t="s">
        <v>384</v>
      </c>
      <c r="F968" s="1" t="s">
        <v>2617</v>
      </c>
      <c r="H968" t="s">
        <v>101</v>
      </c>
      <c r="K968" t="s">
        <v>2618</v>
      </c>
      <c r="L968" s="22">
        <v>6.1630000000000003</v>
      </c>
      <c r="M968" s="8">
        <v>43882</v>
      </c>
      <c r="N968">
        <v>2</v>
      </c>
      <c r="O968" t="s">
        <v>67</v>
      </c>
      <c r="P968">
        <v>2020</v>
      </c>
      <c r="Q968">
        <v>0.11260000000000001</v>
      </c>
      <c r="R968" s="10"/>
      <c r="S968">
        <f>ROUND(ТабCЕС[[#This Row],[Зелений Тариф ЕЦ]]+ТабCЕС[[#This Row],[Зелений Тариф ЕЦ]]*ТабCЕС[[#This Row],[% надбавки]],4)</f>
        <v>0.11260000000000001</v>
      </c>
      <c r="T968" s="8"/>
    </row>
    <row r="969" spans="3:20">
      <c r="C969" t="s">
        <v>58</v>
      </c>
      <c r="D969" t="s">
        <v>384</v>
      </c>
      <c r="F969" s="1" t="s">
        <v>2619</v>
      </c>
      <c r="H969" t="s">
        <v>65</v>
      </c>
      <c r="K969" t="s">
        <v>2620</v>
      </c>
      <c r="L969" s="22">
        <v>7.883</v>
      </c>
      <c r="M969" s="8">
        <v>43882</v>
      </c>
      <c r="N969">
        <v>2</v>
      </c>
      <c r="O969" t="s">
        <v>67</v>
      </c>
      <c r="P969">
        <v>2020</v>
      </c>
      <c r="Q969">
        <v>0.15029999999999999</v>
      </c>
      <c r="R969" s="10"/>
      <c r="S969">
        <f>ROUND(ТабCЕС[[#This Row],[Зелений Тариф ЕЦ]]+ТабCЕС[[#This Row],[Зелений Тариф ЕЦ]]*ТабCЕС[[#This Row],[% надбавки]],4)</f>
        <v>0.15029999999999999</v>
      </c>
      <c r="T969" s="8"/>
    </row>
    <row r="970" spans="3:20">
      <c r="C970" t="s">
        <v>58</v>
      </c>
      <c r="D970" t="s">
        <v>384</v>
      </c>
      <c r="F970" s="1" t="s">
        <v>2621</v>
      </c>
      <c r="H970" t="s">
        <v>172</v>
      </c>
      <c r="K970" t="s">
        <v>2622</v>
      </c>
      <c r="L970" s="22">
        <v>0.20100000000000001</v>
      </c>
      <c r="M970" s="8">
        <v>43882</v>
      </c>
      <c r="N970">
        <v>2</v>
      </c>
      <c r="O970" t="s">
        <v>67</v>
      </c>
      <c r="P970">
        <v>2020</v>
      </c>
      <c r="Q970">
        <v>0.11260000000000001</v>
      </c>
      <c r="R970" s="10"/>
      <c r="S970">
        <f>ROUND(ТабCЕС[[#This Row],[Зелений Тариф ЕЦ]]+ТабCЕС[[#This Row],[Зелений Тариф ЕЦ]]*ТабCЕС[[#This Row],[% надбавки]],4)</f>
        <v>0.11260000000000001</v>
      </c>
      <c r="T970" s="8"/>
    </row>
    <row r="971" spans="3:20">
      <c r="C971" t="s">
        <v>58</v>
      </c>
      <c r="D971" t="s">
        <v>384</v>
      </c>
      <c r="F971" s="1" t="s">
        <v>2623</v>
      </c>
      <c r="H971" t="s">
        <v>65</v>
      </c>
      <c r="K971" t="s">
        <v>2624</v>
      </c>
      <c r="L971" s="22">
        <v>0.51800000000000002</v>
      </c>
      <c r="M971" s="8">
        <v>43882</v>
      </c>
      <c r="N971">
        <v>2</v>
      </c>
      <c r="O971" t="s">
        <v>67</v>
      </c>
      <c r="P971">
        <v>2020</v>
      </c>
      <c r="Q971">
        <v>0.16370000000000001</v>
      </c>
      <c r="R971" s="10"/>
      <c r="S971">
        <f>ROUND(ТабCЕС[[#This Row],[Зелений Тариф ЕЦ]]+ТабCЕС[[#This Row],[Зелений Тариф ЕЦ]]*ТабCЕС[[#This Row],[% надбавки]],4)</f>
        <v>0.16370000000000001</v>
      </c>
      <c r="T971" s="8"/>
    </row>
    <row r="972" spans="3:20">
      <c r="C972" t="s">
        <v>58</v>
      </c>
      <c r="D972" t="s">
        <v>384</v>
      </c>
      <c r="F972" s="1" t="s">
        <v>2625</v>
      </c>
      <c r="H972" t="s">
        <v>255</v>
      </c>
      <c r="K972" t="s">
        <v>2626</v>
      </c>
      <c r="L972" s="22">
        <v>0.57099999999999995</v>
      </c>
      <c r="M972" s="8">
        <v>43882</v>
      </c>
      <c r="N972">
        <v>2</v>
      </c>
      <c r="O972" t="s">
        <v>67</v>
      </c>
      <c r="P972">
        <v>2020</v>
      </c>
      <c r="Q972">
        <v>0.16370000000000001</v>
      </c>
      <c r="R972" s="10"/>
      <c r="S972">
        <f>ROUND(ТабCЕС[[#This Row],[Зелений Тариф ЕЦ]]+ТабCЕС[[#This Row],[Зелений Тариф ЕЦ]]*ТабCЕС[[#This Row],[% надбавки]],4)</f>
        <v>0.16370000000000001</v>
      </c>
      <c r="T972" s="8"/>
    </row>
    <row r="973" spans="3:20">
      <c r="C973" t="s">
        <v>58</v>
      </c>
      <c r="D973" t="s">
        <v>384</v>
      </c>
      <c r="F973" s="1" t="s">
        <v>2627</v>
      </c>
      <c r="H973" t="s">
        <v>101</v>
      </c>
      <c r="K973" t="s">
        <v>2628</v>
      </c>
      <c r="L973" s="22">
        <v>0.23300000000000001</v>
      </c>
      <c r="M973" s="8">
        <v>43882</v>
      </c>
      <c r="N973">
        <v>2</v>
      </c>
      <c r="O973" t="s">
        <v>67</v>
      </c>
      <c r="P973">
        <v>2020</v>
      </c>
      <c r="Q973">
        <v>0.16370000000000001</v>
      </c>
      <c r="R973" s="10"/>
      <c r="S973">
        <f>ROUND(ТабCЕС[[#This Row],[Зелений Тариф ЕЦ]]+ТабCЕС[[#This Row],[Зелений Тариф ЕЦ]]*ТабCЕС[[#This Row],[% надбавки]],4)</f>
        <v>0.16370000000000001</v>
      </c>
      <c r="T973" s="8"/>
    </row>
    <row r="974" spans="3:20">
      <c r="C974" t="s">
        <v>58</v>
      </c>
      <c r="D974" t="s">
        <v>384</v>
      </c>
      <c r="F974" s="1" t="s">
        <v>2629</v>
      </c>
      <c r="H974" t="s">
        <v>255</v>
      </c>
      <c r="K974" t="s">
        <v>2630</v>
      </c>
      <c r="L974" s="22">
        <v>0.97899999999999998</v>
      </c>
      <c r="M974" s="8">
        <v>43882</v>
      </c>
      <c r="N974">
        <v>2</v>
      </c>
      <c r="O974" t="s">
        <v>67</v>
      </c>
      <c r="P974">
        <v>2020</v>
      </c>
      <c r="Q974">
        <v>0.16370000000000001</v>
      </c>
      <c r="R974" s="10"/>
      <c r="S974">
        <f>ROUND(ТабCЕС[[#This Row],[Зелений Тариф ЕЦ]]+ТабCЕС[[#This Row],[Зелений Тариф ЕЦ]]*ТабCЕС[[#This Row],[% надбавки]],4)</f>
        <v>0.16370000000000001</v>
      </c>
      <c r="T974" s="8"/>
    </row>
    <row r="975" spans="3:20">
      <c r="C975" t="s">
        <v>58</v>
      </c>
      <c r="D975" t="s">
        <v>384</v>
      </c>
      <c r="F975" s="1" t="s">
        <v>2631</v>
      </c>
      <c r="H975" t="s">
        <v>65</v>
      </c>
      <c r="K975" t="s">
        <v>2632</v>
      </c>
      <c r="L975" s="22">
        <v>1.341</v>
      </c>
      <c r="M975" s="8">
        <v>43882</v>
      </c>
      <c r="N975">
        <v>2</v>
      </c>
      <c r="O975" t="s">
        <v>67</v>
      </c>
      <c r="P975">
        <v>2020</v>
      </c>
      <c r="Q975">
        <v>0.16370000000000001</v>
      </c>
      <c r="R975" s="10"/>
      <c r="S975">
        <f>ROUND(ТабCЕС[[#This Row],[Зелений Тариф ЕЦ]]+ТабCЕС[[#This Row],[Зелений Тариф ЕЦ]]*ТабCЕС[[#This Row],[% надбавки]],4)</f>
        <v>0.16370000000000001</v>
      </c>
      <c r="T975" s="8"/>
    </row>
    <row r="976" spans="3:20">
      <c r="C976" t="s">
        <v>58</v>
      </c>
      <c r="D976" t="s">
        <v>384</v>
      </c>
      <c r="F976" s="1" t="s">
        <v>2633</v>
      </c>
      <c r="H976" t="s">
        <v>122</v>
      </c>
      <c r="K976" t="s">
        <v>2634</v>
      </c>
      <c r="L976" s="22">
        <v>13.5</v>
      </c>
      <c r="M976" s="8">
        <v>43889</v>
      </c>
      <c r="N976">
        <v>2</v>
      </c>
      <c r="O976" t="s">
        <v>67</v>
      </c>
      <c r="P976">
        <v>2020</v>
      </c>
      <c r="Q976">
        <v>0.15029999999999999</v>
      </c>
      <c r="R976" s="10"/>
      <c r="S976">
        <f>ROUND(ТабCЕС[[#This Row],[Зелений Тариф ЕЦ]]+ТабCЕС[[#This Row],[Зелений Тариф ЕЦ]]*ТабCЕС[[#This Row],[% надбавки]],4)</f>
        <v>0.15029999999999999</v>
      </c>
      <c r="T976" s="8"/>
    </row>
    <row r="977" spans="3:20">
      <c r="C977" t="s">
        <v>58</v>
      </c>
      <c r="D977" t="s">
        <v>384</v>
      </c>
      <c r="F977" s="1" t="s">
        <v>2029</v>
      </c>
      <c r="H977" t="s">
        <v>107</v>
      </c>
      <c r="K977" t="s">
        <v>2635</v>
      </c>
      <c r="L977" s="22">
        <v>1.9990000000000001</v>
      </c>
      <c r="M977" s="8">
        <v>43889</v>
      </c>
      <c r="N977">
        <v>2</v>
      </c>
      <c r="O977" t="s">
        <v>67</v>
      </c>
      <c r="P977">
        <v>2020</v>
      </c>
      <c r="Q977">
        <v>0.15029999999999999</v>
      </c>
      <c r="R977" s="10"/>
      <c r="S977">
        <f>ROUND(ТабCЕС[[#This Row],[Зелений Тариф ЕЦ]]+ТабCЕС[[#This Row],[Зелений Тариф ЕЦ]]*ТабCЕС[[#This Row],[% надбавки]],4)</f>
        <v>0.15029999999999999</v>
      </c>
      <c r="T977" s="8"/>
    </row>
    <row r="978" spans="3:20">
      <c r="C978" t="s">
        <v>58</v>
      </c>
      <c r="D978" t="s">
        <v>384</v>
      </c>
      <c r="F978" s="1" t="s">
        <v>2636</v>
      </c>
      <c r="H978" t="s">
        <v>172</v>
      </c>
      <c r="K978" t="s">
        <v>2637</v>
      </c>
      <c r="L978" s="22">
        <v>0.96699999999999997</v>
      </c>
      <c r="M978" s="8">
        <v>43889</v>
      </c>
      <c r="N978">
        <v>2</v>
      </c>
      <c r="O978" t="s">
        <v>67</v>
      </c>
      <c r="P978">
        <v>2020</v>
      </c>
      <c r="Q978">
        <v>0.15029999999999999</v>
      </c>
      <c r="R978" s="10"/>
      <c r="S978">
        <f>ROUND(ТабCЕС[[#This Row],[Зелений Тариф ЕЦ]]+ТабCЕС[[#This Row],[Зелений Тариф ЕЦ]]*ТабCЕС[[#This Row],[% надбавки]],4)</f>
        <v>0.15029999999999999</v>
      </c>
      <c r="T978" s="8"/>
    </row>
    <row r="979" spans="3:20">
      <c r="C979" t="s">
        <v>58</v>
      </c>
      <c r="D979" t="s">
        <v>384</v>
      </c>
      <c r="F979" s="1" t="s">
        <v>2638</v>
      </c>
      <c r="H979" t="s">
        <v>233</v>
      </c>
      <c r="K979" t="s">
        <v>2639</v>
      </c>
      <c r="L979" s="22">
        <v>34.557000000000002</v>
      </c>
      <c r="M979" s="8">
        <v>43896</v>
      </c>
      <c r="N979">
        <v>3</v>
      </c>
      <c r="O979" t="s">
        <v>67</v>
      </c>
      <c r="P979">
        <v>2020</v>
      </c>
      <c r="Q979">
        <v>0.15029999999999999</v>
      </c>
      <c r="R979" s="10"/>
      <c r="S979">
        <f>ROUND(ТабCЕС[[#This Row],[Зелений Тариф ЕЦ]]+ТабCЕС[[#This Row],[Зелений Тариф ЕЦ]]*ТабCЕС[[#This Row],[% надбавки]],4)</f>
        <v>0.15029999999999999</v>
      </c>
      <c r="T979" s="8"/>
    </row>
    <row r="980" spans="3:20">
      <c r="C980" t="s">
        <v>58</v>
      </c>
      <c r="D980" t="s">
        <v>384</v>
      </c>
      <c r="F980" s="1" t="s">
        <v>2640</v>
      </c>
      <c r="H980" t="s">
        <v>122</v>
      </c>
      <c r="K980" t="s">
        <v>2641</v>
      </c>
      <c r="L980" s="22">
        <v>5.0309999999999997</v>
      </c>
      <c r="M980" s="8">
        <v>43896</v>
      </c>
      <c r="N980">
        <v>3</v>
      </c>
      <c r="O980" t="s">
        <v>67</v>
      </c>
      <c r="P980">
        <v>2020</v>
      </c>
      <c r="Q980">
        <v>0.15029999999999999</v>
      </c>
      <c r="R980" s="10"/>
      <c r="S980">
        <f>ROUND(ТабCЕС[[#This Row],[Зелений Тариф ЕЦ]]+ТабCЕС[[#This Row],[Зелений Тариф ЕЦ]]*ТабCЕС[[#This Row],[% надбавки]],4)</f>
        <v>0.15029999999999999</v>
      </c>
      <c r="T980" s="8"/>
    </row>
    <row r="981" spans="3:20">
      <c r="C981" t="s">
        <v>58</v>
      </c>
      <c r="D981" t="s">
        <v>384</v>
      </c>
      <c r="F981" s="1" t="s">
        <v>2642</v>
      </c>
      <c r="H981" t="s">
        <v>65</v>
      </c>
      <c r="K981" t="s">
        <v>2643</v>
      </c>
      <c r="L981" s="22">
        <v>1.718</v>
      </c>
      <c r="M981" s="8">
        <v>43896</v>
      </c>
      <c r="N981">
        <v>3</v>
      </c>
      <c r="O981" t="s">
        <v>67</v>
      </c>
      <c r="P981">
        <v>2020</v>
      </c>
      <c r="Q981">
        <v>0.15029999999999999</v>
      </c>
      <c r="R981" s="10"/>
      <c r="S981">
        <f>ROUND(ТабCЕС[[#This Row],[Зелений Тариф ЕЦ]]+ТабCЕС[[#This Row],[Зелений Тариф ЕЦ]]*ТабCЕС[[#This Row],[% надбавки]],4)</f>
        <v>0.15029999999999999</v>
      </c>
      <c r="T981" s="8"/>
    </row>
    <row r="982" spans="3:20">
      <c r="C982" t="s">
        <v>58</v>
      </c>
      <c r="D982" t="s">
        <v>384</v>
      </c>
      <c r="F982" s="1" t="s">
        <v>2644</v>
      </c>
      <c r="H982" t="s">
        <v>321</v>
      </c>
      <c r="K982" t="s">
        <v>2645</v>
      </c>
      <c r="L982" s="22">
        <v>0.55500000000000005</v>
      </c>
      <c r="M982" s="8">
        <v>43896</v>
      </c>
      <c r="N982">
        <v>3</v>
      </c>
      <c r="O982" t="s">
        <v>67</v>
      </c>
      <c r="P982">
        <v>2020</v>
      </c>
      <c r="Q982">
        <v>0.16370000000000001</v>
      </c>
      <c r="R982" s="10"/>
      <c r="S982">
        <f>ROUND(ТабCЕС[[#This Row],[Зелений Тариф ЕЦ]]+ТабCЕС[[#This Row],[Зелений Тариф ЕЦ]]*ТабCЕС[[#This Row],[% надбавки]],4)</f>
        <v>0.16370000000000001</v>
      </c>
      <c r="T982" s="8"/>
    </row>
    <row r="983" spans="3:20">
      <c r="C983" t="s">
        <v>58</v>
      </c>
      <c r="D983" t="s">
        <v>384</v>
      </c>
      <c r="F983" s="1" t="s">
        <v>2646</v>
      </c>
      <c r="H983" t="s">
        <v>73</v>
      </c>
      <c r="K983" t="s">
        <v>2647</v>
      </c>
      <c r="L983" s="22">
        <v>9.7629999999999999</v>
      </c>
      <c r="M983" s="8">
        <v>43896</v>
      </c>
      <c r="N983">
        <v>3</v>
      </c>
      <c r="O983" t="s">
        <v>67</v>
      </c>
      <c r="P983">
        <v>2020</v>
      </c>
      <c r="Q983">
        <v>0.15029999999999999</v>
      </c>
      <c r="R983" s="10"/>
      <c r="S983">
        <f>ROUND(ТабCЕС[[#This Row],[Зелений Тариф ЕЦ]]+ТабCЕС[[#This Row],[Зелений Тариф ЕЦ]]*ТабCЕС[[#This Row],[% надбавки]],4)</f>
        <v>0.15029999999999999</v>
      </c>
      <c r="T983" s="8"/>
    </row>
    <row r="984" spans="3:20">
      <c r="C984" t="s">
        <v>58</v>
      </c>
      <c r="D984" t="s">
        <v>384</v>
      </c>
      <c r="F984" s="1" t="s">
        <v>2648</v>
      </c>
      <c r="H984" t="s">
        <v>185</v>
      </c>
      <c r="K984" t="s">
        <v>2649</v>
      </c>
      <c r="L984" s="22">
        <v>0.28399999999999997</v>
      </c>
      <c r="M984" s="8">
        <v>43896</v>
      </c>
      <c r="N984">
        <v>3</v>
      </c>
      <c r="O984" t="s">
        <v>67</v>
      </c>
      <c r="P984">
        <v>2020</v>
      </c>
      <c r="Q984">
        <v>0.15029999999999999</v>
      </c>
      <c r="R984" s="10"/>
      <c r="S984">
        <f>ROUND(ТабCЕС[[#This Row],[Зелений Тариф ЕЦ]]+ТабCЕС[[#This Row],[Зелений Тариф ЕЦ]]*ТабCЕС[[#This Row],[% надбавки]],4)</f>
        <v>0.15029999999999999</v>
      </c>
      <c r="T984" s="8"/>
    </row>
    <row r="985" spans="3:20">
      <c r="C985" t="s">
        <v>58</v>
      </c>
      <c r="D985" t="s">
        <v>384</v>
      </c>
      <c r="F985" s="1" t="s">
        <v>2650</v>
      </c>
      <c r="H985" t="s">
        <v>198</v>
      </c>
      <c r="K985" t="s">
        <v>2651</v>
      </c>
      <c r="L985" s="7">
        <v>0.52400000000000002</v>
      </c>
      <c r="M985" s="8">
        <v>43903</v>
      </c>
      <c r="N985">
        <v>3</v>
      </c>
      <c r="O985" t="s">
        <v>67</v>
      </c>
      <c r="P985">
        <v>2020</v>
      </c>
      <c r="Q985">
        <v>0.16370000000000001</v>
      </c>
      <c r="R985" s="10"/>
      <c r="S985">
        <f>ROUND(ТабCЕС[[#This Row],[Зелений Тариф ЕЦ]]+ТабCЕС[[#This Row],[Зелений Тариф ЕЦ]]*ТабCЕС[[#This Row],[% надбавки]],4)</f>
        <v>0.16370000000000001</v>
      </c>
      <c r="T985" s="8"/>
    </row>
    <row r="986" spans="3:20">
      <c r="C986" t="s">
        <v>58</v>
      </c>
      <c r="D986" t="s">
        <v>384</v>
      </c>
      <c r="F986" s="1" t="s">
        <v>2652</v>
      </c>
      <c r="H986" t="s">
        <v>65</v>
      </c>
      <c r="K986" t="s">
        <v>2653</v>
      </c>
      <c r="L986" s="7">
        <v>0.24199999999999999</v>
      </c>
      <c r="M986" s="8">
        <v>43903</v>
      </c>
      <c r="N986">
        <v>3</v>
      </c>
      <c r="O986" t="s">
        <v>67</v>
      </c>
      <c r="P986">
        <v>2020</v>
      </c>
      <c r="Q986">
        <v>0.16370000000000001</v>
      </c>
      <c r="R986" s="10"/>
      <c r="S986">
        <f>ROUND(ТабCЕС[[#This Row],[Зелений Тариф ЕЦ]]+ТабCЕС[[#This Row],[Зелений Тариф ЕЦ]]*ТабCЕС[[#This Row],[% надбавки]],4)</f>
        <v>0.16370000000000001</v>
      </c>
      <c r="T986" s="8"/>
    </row>
    <row r="987" spans="3:20">
      <c r="C987" t="s">
        <v>58</v>
      </c>
      <c r="D987" t="s">
        <v>384</v>
      </c>
      <c r="F987" s="1" t="s">
        <v>2652</v>
      </c>
      <c r="H987" t="s">
        <v>65</v>
      </c>
      <c r="K987" t="s">
        <v>2654</v>
      </c>
      <c r="L987" s="7">
        <v>0.24199999999999999</v>
      </c>
      <c r="M987" s="8">
        <v>43903</v>
      </c>
      <c r="N987">
        <v>3</v>
      </c>
      <c r="O987" t="s">
        <v>67</v>
      </c>
      <c r="P987">
        <v>2020</v>
      </c>
      <c r="Q987">
        <v>0.16370000000000001</v>
      </c>
      <c r="R987" s="10"/>
      <c r="S987">
        <f>ROUND(ТабCЕС[[#This Row],[Зелений Тариф ЕЦ]]+ТабCЕС[[#This Row],[Зелений Тариф ЕЦ]]*ТабCЕС[[#This Row],[% надбавки]],4)</f>
        <v>0.16370000000000001</v>
      </c>
      <c r="T987" s="8"/>
    </row>
    <row r="988" spans="3:20">
      <c r="C988" t="s">
        <v>58</v>
      </c>
      <c r="D988" t="s">
        <v>384</v>
      </c>
      <c r="F988" s="1" t="s">
        <v>2655</v>
      </c>
      <c r="H988" t="s">
        <v>172</v>
      </c>
      <c r="K988" t="s">
        <v>2656</v>
      </c>
      <c r="L988" s="7">
        <v>2.4009999999999998</v>
      </c>
      <c r="M988" s="8">
        <v>43903</v>
      </c>
      <c r="N988">
        <v>3</v>
      </c>
      <c r="O988" t="s">
        <v>67</v>
      </c>
      <c r="P988">
        <v>2020</v>
      </c>
      <c r="Q988">
        <v>0.15029999999999999</v>
      </c>
      <c r="R988" s="10"/>
      <c r="S988">
        <f>ROUND(ТабCЕС[[#This Row],[Зелений Тариф ЕЦ]]+ТабCЕС[[#This Row],[Зелений Тариф ЕЦ]]*ТабCЕС[[#This Row],[% надбавки]],4)</f>
        <v>0.15029999999999999</v>
      </c>
      <c r="T988" s="8"/>
    </row>
    <row r="989" spans="3:20">
      <c r="C989" t="s">
        <v>58</v>
      </c>
      <c r="D989" t="s">
        <v>384</v>
      </c>
      <c r="F989" s="1" t="s">
        <v>2657</v>
      </c>
      <c r="H989" t="s">
        <v>82</v>
      </c>
      <c r="K989" t="s">
        <v>2658</v>
      </c>
      <c r="L989" s="7">
        <v>23.837</v>
      </c>
      <c r="M989" s="8">
        <v>43910</v>
      </c>
      <c r="N989">
        <v>3</v>
      </c>
      <c r="O989" t="s">
        <v>67</v>
      </c>
      <c r="P989">
        <v>2020</v>
      </c>
      <c r="Q989">
        <v>0.15029999999999999</v>
      </c>
      <c r="R989" s="10"/>
      <c r="S989">
        <f>ROUND(ТабCЕС[[#This Row],[Зелений Тариф ЕЦ]]+ТабCЕС[[#This Row],[Зелений Тариф ЕЦ]]*ТабCЕС[[#This Row],[% надбавки]],4)</f>
        <v>0.15029999999999999</v>
      </c>
      <c r="T989" s="8"/>
    </row>
    <row r="990" spans="3:20">
      <c r="C990" t="s">
        <v>58</v>
      </c>
      <c r="D990" t="s">
        <v>384</v>
      </c>
      <c r="F990" s="1" t="s">
        <v>2659</v>
      </c>
      <c r="H990" t="s">
        <v>136</v>
      </c>
      <c r="K990" t="s">
        <v>2660</v>
      </c>
      <c r="L990" s="7">
        <v>1.266</v>
      </c>
      <c r="M990" s="8">
        <v>43910</v>
      </c>
      <c r="N990">
        <v>3</v>
      </c>
      <c r="O990" t="s">
        <v>67</v>
      </c>
      <c r="P990">
        <v>2020</v>
      </c>
      <c r="Q990">
        <v>0.15029999999999999</v>
      </c>
      <c r="R990" s="10"/>
      <c r="S990">
        <f>ROUND(ТабCЕС[[#This Row],[Зелений Тариф ЕЦ]]+ТабCЕС[[#This Row],[Зелений Тариф ЕЦ]]*ТабCЕС[[#This Row],[% надбавки]],4)</f>
        <v>0.15029999999999999</v>
      </c>
      <c r="T990" s="8"/>
    </row>
    <row r="991" spans="3:20">
      <c r="C991" t="s">
        <v>58</v>
      </c>
      <c r="D991" t="s">
        <v>384</v>
      </c>
      <c r="F991" s="1" t="s">
        <v>2661</v>
      </c>
      <c r="H991" t="s">
        <v>198</v>
      </c>
      <c r="K991" t="s">
        <v>2662</v>
      </c>
      <c r="L991" s="7">
        <v>0.35299999999999998</v>
      </c>
      <c r="M991" s="8">
        <v>43910</v>
      </c>
      <c r="N991">
        <v>3</v>
      </c>
      <c r="O991" t="s">
        <v>67</v>
      </c>
      <c r="P991">
        <v>2020</v>
      </c>
      <c r="Q991">
        <v>0.16370000000000001</v>
      </c>
      <c r="R991" s="10"/>
      <c r="S991">
        <f>ROUND(ТабCЕС[[#This Row],[Зелений Тариф ЕЦ]]+ТабCЕС[[#This Row],[Зелений Тариф ЕЦ]]*ТабCЕС[[#This Row],[% надбавки]],4)</f>
        <v>0.16370000000000001</v>
      </c>
      <c r="T991" s="8"/>
    </row>
    <row r="992" spans="3:20">
      <c r="C992" t="s">
        <v>58</v>
      </c>
      <c r="D992" t="s">
        <v>384</v>
      </c>
      <c r="F992" s="1" t="s">
        <v>2663</v>
      </c>
      <c r="H992" t="s">
        <v>198</v>
      </c>
      <c r="K992" t="s">
        <v>2662</v>
      </c>
      <c r="L992" s="7">
        <v>0.85299999999999998</v>
      </c>
      <c r="M992" s="8">
        <v>43910</v>
      </c>
      <c r="N992">
        <v>3</v>
      </c>
      <c r="O992" t="s">
        <v>67</v>
      </c>
      <c r="P992">
        <v>2020</v>
      </c>
      <c r="Q992">
        <v>0.16370000000000001</v>
      </c>
      <c r="R992" s="10"/>
      <c r="S992">
        <f>ROUND(ТабCЕС[[#This Row],[Зелений Тариф ЕЦ]]+ТабCЕС[[#This Row],[Зелений Тариф ЕЦ]]*ТабCЕС[[#This Row],[% надбавки]],4)</f>
        <v>0.16370000000000001</v>
      </c>
      <c r="T992" s="8"/>
    </row>
    <row r="993" spans="3:20">
      <c r="C993" t="s">
        <v>58</v>
      </c>
      <c r="D993" t="s">
        <v>384</v>
      </c>
      <c r="F993" s="1" t="s">
        <v>2664</v>
      </c>
      <c r="H993" t="s">
        <v>65</v>
      </c>
      <c r="K993" t="s">
        <v>2665</v>
      </c>
      <c r="L993" s="7">
        <v>1.163</v>
      </c>
      <c r="M993" s="8">
        <v>43924</v>
      </c>
      <c r="N993">
        <v>3</v>
      </c>
      <c r="O993" t="s">
        <v>67</v>
      </c>
      <c r="P993">
        <v>2020</v>
      </c>
      <c r="Q993">
        <v>0.15029999999999999</v>
      </c>
      <c r="R993" s="10"/>
      <c r="S993">
        <f>ROUND(ТабCЕС[[#This Row],[Зелений Тариф ЕЦ]]+ТабCЕС[[#This Row],[Зелений Тариф ЕЦ]]*ТабCЕС[[#This Row],[% надбавки]],4)</f>
        <v>0.15029999999999999</v>
      </c>
      <c r="T993" s="8"/>
    </row>
    <row r="994" spans="3:20">
      <c r="C994" t="s">
        <v>58</v>
      </c>
      <c r="D994" t="s">
        <v>384</v>
      </c>
      <c r="F994" s="1" t="s">
        <v>2666</v>
      </c>
      <c r="H994" t="s">
        <v>122</v>
      </c>
      <c r="K994" t="s">
        <v>2667</v>
      </c>
      <c r="L994" s="7">
        <v>3.68</v>
      </c>
      <c r="M994" s="8">
        <v>43924</v>
      </c>
      <c r="N994">
        <v>3</v>
      </c>
      <c r="O994" t="s">
        <v>67</v>
      </c>
      <c r="P994">
        <v>2020</v>
      </c>
      <c r="Q994">
        <v>0.15029999999999999</v>
      </c>
      <c r="R994" s="10"/>
      <c r="S994">
        <f>ROUND(ТабCЕС[[#This Row],[Зелений Тариф ЕЦ]]+ТабCЕС[[#This Row],[Зелений Тариф ЕЦ]]*ТабCЕС[[#This Row],[% надбавки]],4)</f>
        <v>0.15029999999999999</v>
      </c>
      <c r="T994" s="8"/>
    </row>
    <row r="995" spans="3:20">
      <c r="C995" t="s">
        <v>58</v>
      </c>
      <c r="D995" t="s">
        <v>384</v>
      </c>
      <c r="F995" s="1" t="s">
        <v>2668</v>
      </c>
      <c r="H995" t="s">
        <v>172</v>
      </c>
      <c r="K995" t="s">
        <v>2669</v>
      </c>
      <c r="L995" s="7">
        <v>3.7250000000000001</v>
      </c>
      <c r="M995" s="8">
        <v>43924</v>
      </c>
      <c r="N995">
        <v>3</v>
      </c>
      <c r="O995" t="s">
        <v>67</v>
      </c>
      <c r="P995">
        <v>2020</v>
      </c>
      <c r="Q995">
        <v>0.15029999999999999</v>
      </c>
      <c r="R995" s="10"/>
      <c r="S995">
        <f>ROUND(ТабCЕС[[#This Row],[Зелений Тариф ЕЦ]]+ТабCЕС[[#This Row],[Зелений Тариф ЕЦ]]*ТабCЕС[[#This Row],[% надбавки]],4)</f>
        <v>0.15029999999999999</v>
      </c>
      <c r="T995" s="8"/>
    </row>
    <row r="996" spans="3:20">
      <c r="C996" t="s">
        <v>58</v>
      </c>
      <c r="D996" t="s">
        <v>384</v>
      </c>
      <c r="F996" s="1" t="s">
        <v>2670</v>
      </c>
      <c r="H996" t="s">
        <v>233</v>
      </c>
      <c r="K996" t="s">
        <v>2671</v>
      </c>
      <c r="L996" s="7">
        <v>0.29199999999999998</v>
      </c>
      <c r="M996" s="8">
        <v>43924</v>
      </c>
      <c r="N996">
        <v>3</v>
      </c>
      <c r="O996" t="s">
        <v>67</v>
      </c>
      <c r="P996">
        <v>2020</v>
      </c>
      <c r="Q996">
        <v>0.16370000000000001</v>
      </c>
      <c r="R996" s="10"/>
      <c r="S996">
        <f>ROUND(ТабCЕС[[#This Row],[Зелений Тариф ЕЦ]]+ТабCЕС[[#This Row],[Зелений Тариф ЕЦ]]*ТабCЕС[[#This Row],[% надбавки]],4)</f>
        <v>0.16370000000000001</v>
      </c>
      <c r="T996" s="8"/>
    </row>
    <row r="997" spans="3:20">
      <c r="C997" t="s">
        <v>58</v>
      </c>
      <c r="D997" t="s">
        <v>384</v>
      </c>
      <c r="F997" s="1" t="s">
        <v>2672</v>
      </c>
      <c r="H997" t="s">
        <v>69</v>
      </c>
      <c r="K997" t="s">
        <v>2673</v>
      </c>
      <c r="L997" s="7">
        <v>1.498</v>
      </c>
      <c r="M997" s="8">
        <v>43924</v>
      </c>
      <c r="N997">
        <v>3</v>
      </c>
      <c r="O997" t="s">
        <v>67</v>
      </c>
      <c r="P997">
        <v>2020</v>
      </c>
      <c r="Q997">
        <v>0.15029999999999999</v>
      </c>
      <c r="R997" s="10"/>
      <c r="S997">
        <f>ROUND(ТабCЕС[[#This Row],[Зелений Тариф ЕЦ]]+ТабCЕС[[#This Row],[Зелений Тариф ЕЦ]]*ТабCЕС[[#This Row],[% надбавки]],4)</f>
        <v>0.15029999999999999</v>
      </c>
      <c r="T997" s="8"/>
    </row>
    <row r="998" spans="3:20">
      <c r="C998" t="s">
        <v>58</v>
      </c>
      <c r="D998" t="s">
        <v>384</v>
      </c>
      <c r="F998" s="1" t="s">
        <v>2674</v>
      </c>
      <c r="H998" t="s">
        <v>73</v>
      </c>
      <c r="K998" t="s">
        <v>2675</v>
      </c>
      <c r="L998" s="7">
        <v>3.0350000000000001</v>
      </c>
      <c r="M998" s="8">
        <v>43924</v>
      </c>
      <c r="N998">
        <v>3</v>
      </c>
      <c r="O998" t="s">
        <v>67</v>
      </c>
      <c r="P998">
        <v>2020</v>
      </c>
      <c r="Q998">
        <v>0.15029999999999999</v>
      </c>
      <c r="R998" s="10"/>
      <c r="S998">
        <f>ROUND(ТабCЕС[[#This Row],[Зелений Тариф ЕЦ]]+ТабCЕС[[#This Row],[Зелений Тариф ЕЦ]]*ТабCЕС[[#This Row],[% надбавки]],4)</f>
        <v>0.15029999999999999</v>
      </c>
      <c r="T998" s="8"/>
    </row>
    <row r="999" spans="3:20">
      <c r="C999" t="s">
        <v>58</v>
      </c>
      <c r="D999" t="s">
        <v>384</v>
      </c>
      <c r="F999" s="1" t="s">
        <v>2676</v>
      </c>
      <c r="H999" t="s">
        <v>172</v>
      </c>
      <c r="K999" t="s">
        <v>2677</v>
      </c>
      <c r="L999" s="7">
        <v>1.085</v>
      </c>
      <c r="M999" s="8">
        <v>43936</v>
      </c>
      <c r="N999">
        <v>4</v>
      </c>
      <c r="O999" t="s">
        <v>2678</v>
      </c>
      <c r="P999">
        <v>2020</v>
      </c>
      <c r="Q999">
        <v>0.15029999999999999</v>
      </c>
      <c r="R999" s="10"/>
      <c r="S999">
        <f>ROUND(ТабCЕС[[#This Row],[Зелений Тариф ЕЦ]]+ТабCЕС[[#This Row],[Зелений Тариф ЕЦ]]*ТабCЕС[[#This Row],[% надбавки]],4)</f>
        <v>0.15029999999999999</v>
      </c>
      <c r="T999" s="8"/>
    </row>
    <row r="1000" spans="3:20" ht="25.5">
      <c r="C1000" t="s">
        <v>58</v>
      </c>
      <c r="D1000" t="s">
        <v>384</v>
      </c>
      <c r="F1000" s="1" t="s">
        <v>2679</v>
      </c>
      <c r="H1000" t="s">
        <v>98</v>
      </c>
      <c r="K1000" t="s">
        <v>2680</v>
      </c>
      <c r="L1000" s="7">
        <v>0.56699999999999995</v>
      </c>
      <c r="M1000" s="8">
        <v>43936</v>
      </c>
      <c r="N1000">
        <v>4</v>
      </c>
      <c r="O1000" t="s">
        <v>2678</v>
      </c>
      <c r="P1000">
        <v>2020</v>
      </c>
      <c r="Q1000">
        <v>0.16370000000000001</v>
      </c>
      <c r="R1000" s="10"/>
      <c r="S1000">
        <f>ROUND(ТабCЕС[[#This Row],[Зелений Тариф ЕЦ]]+ТабCЕС[[#This Row],[Зелений Тариф ЕЦ]]*ТабCЕС[[#This Row],[% надбавки]],4)</f>
        <v>0.16370000000000001</v>
      </c>
      <c r="T1000" s="8"/>
    </row>
    <row r="1001" spans="3:20">
      <c r="C1001" t="s">
        <v>58</v>
      </c>
      <c r="D1001" t="s">
        <v>384</v>
      </c>
      <c r="F1001" s="1" t="s">
        <v>2681</v>
      </c>
      <c r="H1001" t="s">
        <v>163</v>
      </c>
      <c r="K1001" t="s">
        <v>2682</v>
      </c>
      <c r="L1001" s="7">
        <v>0.122</v>
      </c>
      <c r="M1001" s="8">
        <v>43936</v>
      </c>
      <c r="N1001">
        <v>4</v>
      </c>
      <c r="O1001" t="s">
        <v>2678</v>
      </c>
      <c r="P1001">
        <v>2020</v>
      </c>
      <c r="Q1001">
        <v>0.16370000000000001</v>
      </c>
      <c r="R1001" s="10"/>
      <c r="S1001">
        <f>ROUND(ТабCЕС[[#This Row],[Зелений Тариф ЕЦ]]+ТабCЕС[[#This Row],[Зелений Тариф ЕЦ]]*ТабCЕС[[#This Row],[% надбавки]],4)</f>
        <v>0.16370000000000001</v>
      </c>
      <c r="T1001" s="8"/>
    </row>
    <row r="1002" spans="3:20">
      <c r="C1002" t="s">
        <v>58</v>
      </c>
      <c r="D1002" t="s">
        <v>384</v>
      </c>
      <c r="F1002" s="1" t="s">
        <v>2681</v>
      </c>
      <c r="H1002" t="s">
        <v>163</v>
      </c>
      <c r="K1002" t="s">
        <v>2683</v>
      </c>
      <c r="L1002" s="7">
        <v>0.19800000000000001</v>
      </c>
      <c r="M1002" s="8">
        <v>43936</v>
      </c>
      <c r="N1002">
        <v>4</v>
      </c>
      <c r="O1002" t="s">
        <v>2678</v>
      </c>
      <c r="P1002">
        <v>2020</v>
      </c>
      <c r="Q1002">
        <v>0.16370000000000001</v>
      </c>
      <c r="R1002" s="10"/>
      <c r="S1002">
        <f>ROUND(ТабCЕС[[#This Row],[Зелений Тариф ЕЦ]]+ТабCЕС[[#This Row],[Зелений Тариф ЕЦ]]*ТабCЕС[[#This Row],[% надбавки]],4)</f>
        <v>0.16370000000000001</v>
      </c>
      <c r="T1002" s="8"/>
    </row>
    <row r="1003" spans="3:20">
      <c r="C1003" t="s">
        <v>58</v>
      </c>
      <c r="D1003" t="s">
        <v>384</v>
      </c>
      <c r="F1003" s="1" t="s">
        <v>2684</v>
      </c>
      <c r="H1003" t="s">
        <v>107</v>
      </c>
      <c r="K1003" t="s">
        <v>2685</v>
      </c>
      <c r="L1003" s="7">
        <v>0.14499999999999999</v>
      </c>
      <c r="M1003" s="8">
        <v>43936</v>
      </c>
      <c r="N1003">
        <v>4</v>
      </c>
      <c r="O1003" t="s">
        <v>2678</v>
      </c>
      <c r="P1003">
        <v>2020</v>
      </c>
      <c r="Q1003">
        <v>0.12280000000000001</v>
      </c>
      <c r="R1003" s="10"/>
      <c r="S1003">
        <f>ROUND(ТабCЕС[[#This Row],[Зелений Тариф ЕЦ]]+ТабCЕС[[#This Row],[Зелений Тариф ЕЦ]]*ТабCЕС[[#This Row],[% надбавки]],4)</f>
        <v>0.12280000000000001</v>
      </c>
      <c r="T1003" s="8"/>
    </row>
    <row r="1004" spans="3:20">
      <c r="C1004" t="s">
        <v>58</v>
      </c>
      <c r="D1004" t="s">
        <v>384</v>
      </c>
      <c r="F1004" s="1" t="s">
        <v>2684</v>
      </c>
      <c r="H1004" t="s">
        <v>107</v>
      </c>
      <c r="K1004" t="s">
        <v>2686</v>
      </c>
      <c r="L1004" s="7">
        <v>4.8000000000000001E-2</v>
      </c>
      <c r="M1004" s="8">
        <v>43936</v>
      </c>
      <c r="N1004">
        <v>4</v>
      </c>
      <c r="O1004" t="s">
        <v>2678</v>
      </c>
      <c r="P1004">
        <v>2020</v>
      </c>
      <c r="Q1004">
        <v>0.12280000000000001</v>
      </c>
      <c r="R1004" s="10"/>
      <c r="S1004">
        <f>ROUND(ТабCЕС[[#This Row],[Зелений Тариф ЕЦ]]+ТабCЕС[[#This Row],[Зелений Тариф ЕЦ]]*ТабCЕС[[#This Row],[% надбавки]],4)</f>
        <v>0.12280000000000001</v>
      </c>
      <c r="T1004" s="8"/>
    </row>
    <row r="1005" spans="3:20">
      <c r="C1005" t="s">
        <v>58</v>
      </c>
      <c r="D1005" t="s">
        <v>384</v>
      </c>
      <c r="F1005" s="1" t="s">
        <v>2684</v>
      </c>
      <c r="H1005" t="s">
        <v>107</v>
      </c>
      <c r="K1005" t="s">
        <v>2687</v>
      </c>
      <c r="L1005" s="7">
        <v>4.8000000000000001E-2</v>
      </c>
      <c r="M1005" s="8">
        <v>43936</v>
      </c>
      <c r="N1005">
        <v>4</v>
      </c>
      <c r="O1005" t="s">
        <v>2678</v>
      </c>
      <c r="P1005">
        <v>2020</v>
      </c>
      <c r="Q1005">
        <v>0.12280000000000001</v>
      </c>
      <c r="R1005" s="10"/>
      <c r="S1005">
        <f>ROUND(ТабCЕС[[#This Row],[Зелений Тариф ЕЦ]]+ТабCЕС[[#This Row],[Зелений Тариф ЕЦ]]*ТабCЕС[[#This Row],[% надбавки]],4)</f>
        <v>0.12280000000000001</v>
      </c>
      <c r="T1005" s="8"/>
    </row>
    <row r="1006" spans="3:20">
      <c r="D1006" t="s">
        <v>384</v>
      </c>
      <c r="F1006" s="1" t="s">
        <v>2688</v>
      </c>
      <c r="H1006" t="s">
        <v>122</v>
      </c>
      <c r="K1006" t="s">
        <v>2689</v>
      </c>
      <c r="L1006" s="7">
        <v>3.6890000000000001</v>
      </c>
      <c r="M1006" s="8">
        <v>43943</v>
      </c>
      <c r="N1006">
        <v>4</v>
      </c>
      <c r="O1006" t="s">
        <v>2678</v>
      </c>
      <c r="P1006">
        <v>2020</v>
      </c>
      <c r="Q1006">
        <v>0.15029999999999999</v>
      </c>
      <c r="R1006" s="10"/>
      <c r="S1006">
        <f>ROUND(ТабCЕС[[#This Row],[Зелений Тариф ЕЦ]]+ТабCЕС[[#This Row],[Зелений Тариф ЕЦ]]*ТабCЕС[[#This Row],[% надбавки]],4)</f>
        <v>0.15029999999999999</v>
      </c>
      <c r="T1006" s="8"/>
    </row>
    <row r="1007" spans="3:20">
      <c r="D1007" t="s">
        <v>384</v>
      </c>
      <c r="F1007" t="s">
        <v>2690</v>
      </c>
      <c r="H1007" t="s">
        <v>107</v>
      </c>
      <c r="K1007" t="s">
        <v>2691</v>
      </c>
      <c r="L1007" s="7">
        <v>0.185</v>
      </c>
      <c r="M1007" s="8">
        <v>43943</v>
      </c>
      <c r="N1007">
        <v>4</v>
      </c>
      <c r="O1007" t="s">
        <v>2678</v>
      </c>
      <c r="P1007">
        <v>2020</v>
      </c>
      <c r="Q1007">
        <v>0.16370000000000001</v>
      </c>
      <c r="R1007" s="10"/>
      <c r="S1007">
        <f>ROUND(ТабCЕС[[#This Row],[Зелений Тариф ЕЦ]]+ТабCЕС[[#This Row],[Зелений Тариф ЕЦ]]*ТабCЕС[[#This Row],[% надбавки]],4)</f>
        <v>0.16370000000000001</v>
      </c>
      <c r="T1007" s="8"/>
    </row>
    <row r="1008" spans="3:20">
      <c r="D1008" t="s">
        <v>384</v>
      </c>
      <c r="F1008" t="s">
        <v>2692</v>
      </c>
      <c r="H1008" t="s">
        <v>198</v>
      </c>
      <c r="K1008" t="s">
        <v>2693</v>
      </c>
      <c r="L1008" s="7">
        <v>0.35299999999999998</v>
      </c>
      <c r="M1008" s="8">
        <v>43943</v>
      </c>
      <c r="N1008">
        <v>4</v>
      </c>
      <c r="O1008" t="s">
        <v>2678</v>
      </c>
      <c r="P1008">
        <v>2020</v>
      </c>
      <c r="Q1008">
        <v>0.16370000000000001</v>
      </c>
      <c r="R1008" s="10"/>
      <c r="S1008">
        <f>ROUND(ТабCЕС[[#This Row],[Зелений Тариф ЕЦ]]+ТабCЕС[[#This Row],[Зелений Тариф ЕЦ]]*ТабCЕС[[#This Row],[% надбавки]],4)</f>
        <v>0.16370000000000001</v>
      </c>
      <c r="T1008" s="8"/>
    </row>
    <row r="1009" spans="3:20">
      <c r="D1009" t="s">
        <v>384</v>
      </c>
      <c r="F1009" t="s">
        <v>2694</v>
      </c>
      <c r="H1009" t="s">
        <v>69</v>
      </c>
      <c r="K1009" t="s">
        <v>2695</v>
      </c>
      <c r="L1009" s="7">
        <v>7.6999999999999999E-2</v>
      </c>
      <c r="M1009" s="8">
        <v>43943</v>
      </c>
      <c r="N1009">
        <v>4</v>
      </c>
      <c r="O1009" t="s">
        <v>2678</v>
      </c>
      <c r="P1009">
        <v>2020</v>
      </c>
      <c r="Q1009">
        <v>0.16370000000000001</v>
      </c>
      <c r="R1009" s="10"/>
      <c r="S1009">
        <f>ROUND(ТабCЕС[[#This Row],[Зелений Тариф ЕЦ]]+ТабCЕС[[#This Row],[Зелений Тариф ЕЦ]]*ТабCЕС[[#This Row],[% надбавки]],4)</f>
        <v>0.16370000000000001</v>
      </c>
      <c r="T1009" s="8"/>
    </row>
    <row r="1010" spans="3:20">
      <c r="D1010" t="s">
        <v>384</v>
      </c>
      <c r="F1010" t="s">
        <v>2696</v>
      </c>
      <c r="H1010" t="s">
        <v>107</v>
      </c>
      <c r="K1010" t="s">
        <v>2697</v>
      </c>
      <c r="L1010" s="7">
        <v>1.425</v>
      </c>
      <c r="M1010" s="8">
        <v>43943</v>
      </c>
      <c r="N1010">
        <v>4</v>
      </c>
      <c r="O1010" t="s">
        <v>2678</v>
      </c>
      <c r="P1010">
        <v>2020</v>
      </c>
      <c r="Q1010">
        <v>0.16370000000000001</v>
      </c>
      <c r="R1010" s="10"/>
      <c r="S1010">
        <f>ROUND(ТабCЕС[[#This Row],[Зелений Тариф ЕЦ]]+ТабCЕС[[#This Row],[Зелений Тариф ЕЦ]]*ТабCЕС[[#This Row],[% надбавки]],4)</f>
        <v>0.16370000000000001</v>
      </c>
      <c r="T1010" s="8"/>
    </row>
    <row r="1011" spans="3:20">
      <c r="D1011" t="s">
        <v>384</v>
      </c>
      <c r="F1011" t="s">
        <v>2698</v>
      </c>
      <c r="H1011" t="s">
        <v>1465</v>
      </c>
      <c r="K1011" t="s">
        <v>2699</v>
      </c>
      <c r="L1011" s="7">
        <v>5.8000000000000003E-2</v>
      </c>
      <c r="M1011" s="8">
        <v>43943</v>
      </c>
      <c r="N1011">
        <v>4</v>
      </c>
      <c r="O1011" t="s">
        <v>2678</v>
      </c>
      <c r="P1011">
        <v>2020</v>
      </c>
      <c r="Q1011">
        <v>0.12280000000000001</v>
      </c>
      <c r="R1011" s="10"/>
      <c r="S1011">
        <f>ROUND(ТабCЕС[[#This Row],[Зелений Тариф ЕЦ]]+ТабCЕС[[#This Row],[Зелений Тариф ЕЦ]]*ТабCЕС[[#This Row],[% надбавки]],4)</f>
        <v>0.12280000000000001</v>
      </c>
      <c r="T1011" s="8"/>
    </row>
    <row r="1012" spans="3:20">
      <c r="D1012" t="s">
        <v>384</v>
      </c>
      <c r="F1012" t="s">
        <v>2700</v>
      </c>
      <c r="H1012" t="s">
        <v>65</v>
      </c>
      <c r="K1012" t="s">
        <v>2701</v>
      </c>
      <c r="L1012" s="22">
        <v>2.9020000000000001</v>
      </c>
      <c r="M1012" s="8">
        <v>43943</v>
      </c>
      <c r="N1012">
        <v>4</v>
      </c>
      <c r="O1012" t="s">
        <v>2678</v>
      </c>
      <c r="P1012">
        <v>2020</v>
      </c>
      <c r="Q1012">
        <v>0.11260000000000001</v>
      </c>
      <c r="R1012" s="10"/>
      <c r="S1012">
        <f>ROUND(ТабCЕС[[#This Row],[Зелений Тариф ЕЦ]]+ТабCЕС[[#This Row],[Зелений Тариф ЕЦ]]*ТабCЕС[[#This Row],[% надбавки]],4)</f>
        <v>0.11260000000000001</v>
      </c>
      <c r="T1012" s="8"/>
    </row>
    <row r="1013" spans="3:20">
      <c r="D1013" t="s">
        <v>384</v>
      </c>
      <c r="F1013" t="s">
        <v>2105</v>
      </c>
      <c r="H1013" t="s">
        <v>1257</v>
      </c>
      <c r="K1013" t="s">
        <v>2702</v>
      </c>
      <c r="L1013" s="22">
        <v>1.0840000000000001</v>
      </c>
      <c r="M1013" s="8">
        <v>43943</v>
      </c>
      <c r="N1013">
        <v>4</v>
      </c>
      <c r="O1013" t="s">
        <v>2678</v>
      </c>
      <c r="P1013">
        <v>2020</v>
      </c>
      <c r="Q1013">
        <v>0.15029999999999999</v>
      </c>
      <c r="R1013" s="10"/>
      <c r="S1013">
        <f>ROUND(ТабCЕС[[#This Row],[Зелений Тариф ЕЦ]]+ТабCЕС[[#This Row],[Зелений Тариф ЕЦ]]*ТабCЕС[[#This Row],[% надбавки]],4)</f>
        <v>0.15029999999999999</v>
      </c>
      <c r="T1013" s="8"/>
    </row>
    <row r="1014" spans="3:20">
      <c r="D1014" t="s">
        <v>384</v>
      </c>
      <c r="F1014" t="s">
        <v>2105</v>
      </c>
      <c r="H1014" t="s">
        <v>1257</v>
      </c>
      <c r="K1014" t="s">
        <v>2703</v>
      </c>
      <c r="L1014" s="22">
        <v>1.085</v>
      </c>
      <c r="M1014" s="8">
        <v>43943</v>
      </c>
      <c r="N1014">
        <v>4</v>
      </c>
      <c r="O1014" t="s">
        <v>2678</v>
      </c>
      <c r="P1014">
        <v>2020</v>
      </c>
      <c r="Q1014">
        <v>0.15029999999999999</v>
      </c>
      <c r="R1014" s="10"/>
      <c r="S1014">
        <f>ROUND(ТабCЕС[[#This Row],[Зелений Тариф ЕЦ]]+ТабCЕС[[#This Row],[Зелений Тариф ЕЦ]]*ТабCЕС[[#This Row],[% надбавки]],4)</f>
        <v>0.15029999999999999</v>
      </c>
      <c r="T1014" s="8"/>
    </row>
    <row r="1015" spans="3:20">
      <c r="D1015" t="s">
        <v>384</v>
      </c>
      <c r="F1015" t="s">
        <v>2704</v>
      </c>
      <c r="H1015" t="s">
        <v>65</v>
      </c>
      <c r="K1015" t="s">
        <v>2705</v>
      </c>
      <c r="L1015" s="22">
        <v>1.1299999999999999</v>
      </c>
      <c r="M1015" s="8">
        <v>43943</v>
      </c>
      <c r="N1015">
        <v>4</v>
      </c>
      <c r="O1015" t="s">
        <v>2678</v>
      </c>
      <c r="P1015">
        <v>2020</v>
      </c>
      <c r="Q1015">
        <v>0.15029999999999999</v>
      </c>
      <c r="R1015" s="10"/>
      <c r="S1015">
        <f>ROUND(ТабCЕС[[#This Row],[Зелений Тариф ЕЦ]]+ТабCЕС[[#This Row],[Зелений Тариф ЕЦ]]*ТабCЕС[[#This Row],[% надбавки]],4)</f>
        <v>0.15029999999999999</v>
      </c>
      <c r="T1015" s="8"/>
    </row>
    <row r="1016" spans="3:20">
      <c r="D1016" t="s">
        <v>384</v>
      </c>
      <c r="F1016" t="s">
        <v>2561</v>
      </c>
      <c r="H1016" t="s">
        <v>65</v>
      </c>
      <c r="K1016" t="s">
        <v>2706</v>
      </c>
      <c r="L1016" s="22">
        <v>0.34699999999999998</v>
      </c>
      <c r="M1016" s="8">
        <v>43943</v>
      </c>
      <c r="N1016">
        <v>4</v>
      </c>
      <c r="O1016" t="s">
        <v>2678</v>
      </c>
      <c r="P1016">
        <v>2020</v>
      </c>
      <c r="Q1016">
        <v>0.16370000000000001</v>
      </c>
      <c r="R1016" s="10"/>
      <c r="S1016">
        <f>ROUND(ТабCЕС[[#This Row],[Зелений Тариф ЕЦ]]+ТабCЕС[[#This Row],[Зелений Тариф ЕЦ]]*ТабCЕС[[#This Row],[% надбавки]],4)</f>
        <v>0.16370000000000001</v>
      </c>
      <c r="T1016" s="8"/>
    </row>
    <row r="1017" spans="3:20">
      <c r="D1017" t="s">
        <v>384</v>
      </c>
      <c r="F1017" t="s">
        <v>2561</v>
      </c>
      <c r="H1017" t="s">
        <v>65</v>
      </c>
      <c r="K1017" t="s">
        <v>2707</v>
      </c>
      <c r="L1017" s="22">
        <v>0.53300000000000003</v>
      </c>
      <c r="M1017" s="8">
        <v>43943</v>
      </c>
      <c r="N1017">
        <v>4</v>
      </c>
      <c r="O1017" t="s">
        <v>2678</v>
      </c>
      <c r="P1017">
        <v>2020</v>
      </c>
      <c r="Q1017">
        <v>0.16370000000000001</v>
      </c>
      <c r="R1017" s="10"/>
      <c r="S1017">
        <f>ROUND(ТабCЕС[[#This Row],[Зелений Тариф ЕЦ]]+ТабCЕС[[#This Row],[Зелений Тариф ЕЦ]]*ТабCЕС[[#This Row],[% надбавки]],4)</f>
        <v>0.16370000000000001</v>
      </c>
      <c r="T1017" s="8"/>
    </row>
    <row r="1018" spans="3:20">
      <c r="D1018" t="s">
        <v>384</v>
      </c>
      <c r="F1018" t="s">
        <v>2708</v>
      </c>
      <c r="H1018" t="s">
        <v>65</v>
      </c>
      <c r="K1018" t="s">
        <v>2709</v>
      </c>
      <c r="L1018" s="22">
        <v>2.7570000000000001</v>
      </c>
      <c r="M1018" s="8">
        <v>43896</v>
      </c>
      <c r="N1018">
        <v>5</v>
      </c>
      <c r="O1018" t="s">
        <v>2678</v>
      </c>
      <c r="P1018">
        <v>2020</v>
      </c>
      <c r="Q1018">
        <v>0.15029999999999999</v>
      </c>
      <c r="R1018" s="10"/>
      <c r="S1018">
        <f>ROUND(ТабCЕС[[#This Row],[Зелений Тариф ЕЦ]]+ТабCЕС[[#This Row],[Зелений Тариф ЕЦ]]*ТабCЕС[[#This Row],[% надбавки]],4)</f>
        <v>0.15029999999999999</v>
      </c>
      <c r="T1018" s="8"/>
    </row>
    <row r="1019" spans="3:20">
      <c r="D1019" t="s">
        <v>384</v>
      </c>
      <c r="F1019" t="s">
        <v>2710</v>
      </c>
      <c r="H1019" t="s">
        <v>82</v>
      </c>
      <c r="K1019" t="s">
        <v>2711</v>
      </c>
      <c r="L1019" s="22">
        <v>0.23499999999999999</v>
      </c>
      <c r="M1019" s="8">
        <v>43896</v>
      </c>
      <c r="N1019">
        <v>5</v>
      </c>
      <c r="O1019" t="s">
        <v>2678</v>
      </c>
      <c r="P1019">
        <v>2020</v>
      </c>
      <c r="Q1019">
        <v>0.16370000000000001</v>
      </c>
      <c r="R1019" s="10"/>
      <c r="S1019">
        <f>ROUND(ТабCЕС[[#This Row],[Зелений Тариф ЕЦ]]+ТабCЕС[[#This Row],[Зелений Тариф ЕЦ]]*ТабCЕС[[#This Row],[% надбавки]],4)</f>
        <v>0.16370000000000001</v>
      </c>
      <c r="T1019" s="8"/>
    </row>
    <row r="1020" spans="3:20">
      <c r="D1020" t="s">
        <v>384</v>
      </c>
      <c r="F1020" t="s">
        <v>2712</v>
      </c>
      <c r="H1020" t="s">
        <v>65</v>
      </c>
      <c r="K1020" t="s">
        <v>2713</v>
      </c>
      <c r="L1020" s="22">
        <v>0.16900000000000001</v>
      </c>
      <c r="M1020" s="8">
        <v>43896</v>
      </c>
      <c r="N1020">
        <v>5</v>
      </c>
      <c r="O1020" t="s">
        <v>2678</v>
      </c>
      <c r="P1020">
        <v>2020</v>
      </c>
      <c r="Q1020">
        <v>0.12280000000000001</v>
      </c>
      <c r="R1020" s="10"/>
      <c r="S1020">
        <f>ROUND(ТабCЕС[[#This Row],[Зелений Тариф ЕЦ]]+ТабCЕС[[#This Row],[Зелений Тариф ЕЦ]]*ТабCЕС[[#This Row],[% надбавки]],4)</f>
        <v>0.12280000000000001</v>
      </c>
      <c r="T1020" s="8"/>
    </row>
    <row r="1021" spans="3:20" ht="14.45" customHeight="1">
      <c r="D1021" t="s">
        <v>384</v>
      </c>
      <c r="F1021" t="s">
        <v>1997</v>
      </c>
      <c r="H1021" t="s">
        <v>62</v>
      </c>
      <c r="K1021" s="1" t="s">
        <v>2714</v>
      </c>
      <c r="L1021" s="22">
        <v>0.18</v>
      </c>
      <c r="M1021" s="8">
        <v>43896</v>
      </c>
      <c r="N1021">
        <v>5</v>
      </c>
      <c r="O1021" t="s">
        <v>2678</v>
      </c>
      <c r="P1021">
        <v>2020</v>
      </c>
      <c r="Q1021">
        <v>0.16370000000000001</v>
      </c>
      <c r="R1021" s="10"/>
      <c r="S1021">
        <f>ROUND(ТабCЕС[[#This Row],[Зелений Тариф ЕЦ]]+ТабCЕС[[#This Row],[Зелений Тариф ЕЦ]]*ТабCЕС[[#This Row],[% надбавки]],4)</f>
        <v>0.16370000000000001</v>
      </c>
      <c r="T1021" s="8"/>
    </row>
    <row r="1022" spans="3:20">
      <c r="D1022" t="s">
        <v>384</v>
      </c>
      <c r="F1022" s="23" t="s">
        <v>1997</v>
      </c>
      <c r="H1022" t="s">
        <v>62</v>
      </c>
      <c r="K1022" s="1"/>
      <c r="L1022" s="22">
        <v>0.5</v>
      </c>
      <c r="M1022" s="8">
        <v>43896</v>
      </c>
      <c r="N1022">
        <v>5</v>
      </c>
      <c r="O1022" t="s">
        <v>2678</v>
      </c>
      <c r="P1022">
        <v>2020</v>
      </c>
      <c r="Q1022">
        <v>0.16370000000000001</v>
      </c>
      <c r="R1022" s="10"/>
      <c r="S1022">
        <f>ROUND(ТабCЕС[[#This Row],[Зелений Тариф ЕЦ]]+ТабCЕС[[#This Row],[Зелений Тариф ЕЦ]]*ТабCЕС[[#This Row],[% надбавки]],4)</f>
        <v>0.16370000000000001</v>
      </c>
      <c r="T1022" s="8"/>
    </row>
    <row r="1023" spans="3:20">
      <c r="C1023" t="s">
        <v>58</v>
      </c>
      <c r="F1023" s="23"/>
    </row>
    <row r="1024" spans="3:20">
      <c r="C1024" t="s">
        <v>58</v>
      </c>
    </row>
    <row r="1025" spans="3:3">
      <c r="C1025" t="s">
        <v>58</v>
      </c>
    </row>
    <row r="1026" spans="3:3">
      <c r="C1026" t="s">
        <v>58</v>
      </c>
    </row>
    <row r="1027" spans="3:3">
      <c r="C1027" t="s">
        <v>58</v>
      </c>
    </row>
  </sheetData>
  <conditionalFormatting sqref="R4:R1022 T4:T1022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39997558519241921"/>
  </sheetPr>
  <dimension ref="B3:BD172"/>
  <sheetViews>
    <sheetView topLeftCell="A121" zoomScale="55" zoomScaleNormal="55" workbookViewId="0">
      <selection activeCell="B4" sqref="B4:BD172"/>
    </sheetView>
  </sheetViews>
  <sheetFormatPr defaultRowHeight="12.75"/>
  <cols>
    <col min="2" max="2" width="12.28515625" customWidth="1"/>
    <col min="3" max="3" width="14.7109375" customWidth="1"/>
    <col min="6" max="6" width="42.140625" customWidth="1"/>
    <col min="7" max="7" width="26.85546875" customWidth="1"/>
    <col min="8" max="8" width="15.7109375" customWidth="1"/>
    <col min="9" max="9" width="22.7109375" customWidth="1"/>
    <col min="10" max="10" width="25.140625" customWidth="1"/>
    <col min="11" max="11" width="27" customWidth="1"/>
    <col min="12" max="12" width="17.85546875" customWidth="1"/>
    <col min="13" max="13" width="19.140625" customWidth="1"/>
    <col min="14" max="14" width="9.140625" customWidth="1"/>
    <col min="15" max="15" width="10.28515625" customWidth="1"/>
    <col min="17" max="17" width="20.42578125" customWidth="1"/>
    <col min="18" max="18" width="14" customWidth="1"/>
    <col min="19" max="19" width="19.28515625" customWidth="1"/>
    <col min="20" max="20" width="18" customWidth="1"/>
    <col min="22" max="22" width="9.28515625" customWidth="1"/>
    <col min="27" max="27" width="9" customWidth="1"/>
    <col min="30" max="30" width="9.28515625" customWidth="1"/>
    <col min="34" max="34" width="9.28515625" customWidth="1"/>
    <col min="39" max="39" width="9" customWidth="1"/>
    <col min="42" max="42" width="9.28515625" customWidth="1"/>
    <col min="46" max="46" width="9.28515625" customWidth="1"/>
    <col min="51" max="51" width="9" customWidth="1"/>
    <col min="54" max="54" width="9.28515625" customWidth="1"/>
  </cols>
  <sheetData>
    <row r="3" spans="2:56" ht="38.450000000000003" customHeight="1">
      <c r="B3" t="s">
        <v>0</v>
      </c>
      <c r="C3" t="s">
        <v>1</v>
      </c>
      <c r="D3" t="s">
        <v>2</v>
      </c>
      <c r="E3" t="s">
        <v>3279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s="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</row>
    <row r="4" spans="2:56">
      <c r="C4" t="s">
        <v>58</v>
      </c>
      <c r="D4" t="s">
        <v>2715</v>
      </c>
      <c r="F4" t="s">
        <v>2716</v>
      </c>
      <c r="G4" t="s">
        <v>2717</v>
      </c>
      <c r="H4" t="s">
        <v>136</v>
      </c>
      <c r="I4" t="s">
        <v>2718</v>
      </c>
      <c r="J4" t="s">
        <v>2719</v>
      </c>
      <c r="K4" t="s">
        <v>2720</v>
      </c>
      <c r="L4">
        <v>0.13200000000000001</v>
      </c>
      <c r="M4" s="12">
        <v>42180</v>
      </c>
      <c r="N4">
        <v>6</v>
      </c>
      <c r="O4" t="s">
        <v>57</v>
      </c>
      <c r="P4">
        <v>2015</v>
      </c>
      <c r="Q4">
        <v>0.17449999999999999</v>
      </c>
      <c r="R4" s="10"/>
      <c r="S4" s="11">
        <v>0.17449999999999999</v>
      </c>
      <c r="T4" s="8"/>
      <c r="U4">
        <v>2.4E-2</v>
      </c>
      <c r="V4">
        <v>3.4999999999999996E-2</v>
      </c>
      <c r="W4">
        <v>8.0000000000000016E-2</v>
      </c>
      <c r="X4">
        <v>3.2999999999999974E-2</v>
      </c>
      <c r="Y4">
        <v>1.2000000000000011E-2</v>
      </c>
      <c r="Z4">
        <v>9.000000000000008E-3</v>
      </c>
      <c r="AA4">
        <v>2.0000000000000018E-3</v>
      </c>
      <c r="AB4">
        <v>3.0000000000000027E-3</v>
      </c>
      <c r="AC4">
        <v>3.0000000000000027E-3</v>
      </c>
      <c r="AD4">
        <v>1.5999999999999986E-2</v>
      </c>
      <c r="AE4">
        <v>2.7999999999999997E-2</v>
      </c>
      <c r="AF4">
        <v>4.0999999999999981E-2</v>
      </c>
      <c r="AG4">
        <v>3.3000000000000002E-2</v>
      </c>
      <c r="AH4">
        <v>4.2000000000000003E-2</v>
      </c>
      <c r="AI4">
        <v>6.3E-2</v>
      </c>
      <c r="AJ4">
        <v>4.7E-2</v>
      </c>
      <c r="AK4">
        <v>1.7000000000000001E-2</v>
      </c>
      <c r="AL4">
        <v>6.0000000000000001E-3</v>
      </c>
      <c r="AM4">
        <v>1.2E-2</v>
      </c>
      <c r="AN4">
        <v>4.0000000000000001E-3</v>
      </c>
      <c r="AO4">
        <v>0.01</v>
      </c>
      <c r="AP4">
        <v>3.9E-2</v>
      </c>
      <c r="AQ4">
        <v>4.3999999999999997E-2</v>
      </c>
      <c r="AR4">
        <v>3.4000000000000002E-2</v>
      </c>
      <c r="AS4">
        <v>3.2000000000000001E-2</v>
      </c>
      <c r="AT4">
        <v>5.3999999999999999E-2</v>
      </c>
      <c r="AU4">
        <v>5.0999999999999997E-2</v>
      </c>
      <c r="AV4">
        <v>2.5000000000000001E-2</v>
      </c>
      <c r="AW4">
        <v>2.1000000000000001E-2</v>
      </c>
      <c r="AX4">
        <v>0.04</v>
      </c>
      <c r="AY4">
        <v>2E-3</v>
      </c>
      <c r="AZ4">
        <v>4.0000000000000001E-3</v>
      </c>
    </row>
    <row r="5" spans="2:56">
      <c r="B5" t="s">
        <v>2721</v>
      </c>
      <c r="C5">
        <v>31888598</v>
      </c>
      <c r="D5" t="s">
        <v>2715</v>
      </c>
      <c r="F5" t="s">
        <v>2722</v>
      </c>
      <c r="G5" t="s">
        <v>2723</v>
      </c>
      <c r="H5" t="s">
        <v>176</v>
      </c>
      <c r="I5" t="s">
        <v>2724</v>
      </c>
      <c r="J5" t="s">
        <v>2725</v>
      </c>
      <c r="K5" t="s">
        <v>2726</v>
      </c>
      <c r="L5">
        <v>0.57499999999999996</v>
      </c>
      <c r="M5" s="12">
        <v>40148</v>
      </c>
      <c r="N5">
        <v>12</v>
      </c>
      <c r="O5" t="s">
        <v>71</v>
      </c>
      <c r="P5">
        <v>2009</v>
      </c>
      <c r="Q5">
        <v>0.1163</v>
      </c>
      <c r="R5" s="10"/>
      <c r="S5" s="11">
        <v>0.1163</v>
      </c>
      <c r="T5" s="8"/>
      <c r="U5">
        <v>7.4999999999999997E-2</v>
      </c>
      <c r="V5">
        <v>9.9999999999999992E-2</v>
      </c>
      <c r="W5">
        <v>0.33500000000000002</v>
      </c>
      <c r="X5">
        <v>0.14900000000000002</v>
      </c>
      <c r="Y5">
        <v>6.9999999999999951E-2</v>
      </c>
      <c r="Z5">
        <v>4.3000000000000038E-2</v>
      </c>
      <c r="AA5">
        <v>3.1000000000000028E-2</v>
      </c>
      <c r="AB5">
        <v>2.9999999999999916E-2</v>
      </c>
      <c r="AC5">
        <v>3.2000000000000028E-2</v>
      </c>
      <c r="AD5">
        <v>6.1000000000000054E-2</v>
      </c>
      <c r="AE5">
        <v>6.4999999999999947E-2</v>
      </c>
      <c r="AF5">
        <v>8.3999999999999964E-2</v>
      </c>
      <c r="AG5">
        <v>8.4000000000000005E-2</v>
      </c>
      <c r="AH5">
        <v>7.8E-2</v>
      </c>
      <c r="AI5">
        <v>0.224</v>
      </c>
      <c r="AJ5">
        <v>0.17</v>
      </c>
      <c r="AK5">
        <v>5.5E-2</v>
      </c>
      <c r="AL5">
        <v>3.2000000000000001E-2</v>
      </c>
      <c r="AM5">
        <v>4.5999999999999999E-2</v>
      </c>
      <c r="AN5">
        <v>2.5000000000000001E-2</v>
      </c>
      <c r="AO5">
        <v>2.1000000000000001E-2</v>
      </c>
      <c r="AP5">
        <v>4.4999999999999998E-2</v>
      </c>
      <c r="AQ5">
        <v>3.5999999999999997E-2</v>
      </c>
      <c r="AR5">
        <v>4.9000000000000002E-2</v>
      </c>
      <c r="AS5">
        <v>7.1999999999999995E-2</v>
      </c>
      <c r="AT5">
        <v>0.106</v>
      </c>
      <c r="AU5">
        <v>7.5999999999999998E-2</v>
      </c>
      <c r="AV5">
        <v>5.2999999999999999E-2</v>
      </c>
      <c r="AW5">
        <v>0.23200000000000001</v>
      </c>
      <c r="AX5">
        <v>0.14299999999999999</v>
      </c>
      <c r="AY5">
        <v>2.3E-2</v>
      </c>
      <c r="AZ5">
        <v>1.2999999999999999E-2</v>
      </c>
    </row>
    <row r="6" spans="2:56">
      <c r="C6" t="s">
        <v>58</v>
      </c>
      <c r="D6" t="s">
        <v>2715</v>
      </c>
      <c r="F6" t="s">
        <v>2727</v>
      </c>
      <c r="G6" t="s">
        <v>2728</v>
      </c>
      <c r="H6" t="s">
        <v>321</v>
      </c>
      <c r="I6" t="s">
        <v>374</v>
      </c>
      <c r="J6" t="s">
        <v>2729</v>
      </c>
      <c r="K6" t="s">
        <v>2729</v>
      </c>
      <c r="L6">
        <v>0.38400000000000001</v>
      </c>
      <c r="M6" s="12">
        <v>40544</v>
      </c>
      <c r="N6">
        <v>1</v>
      </c>
      <c r="O6" t="s">
        <v>67</v>
      </c>
      <c r="P6">
        <v>2011</v>
      </c>
      <c r="Q6">
        <v>0.1163</v>
      </c>
      <c r="R6" s="10"/>
      <c r="S6" s="11">
        <v>0.1163</v>
      </c>
      <c r="T6" s="8"/>
      <c r="U6">
        <v>0.158</v>
      </c>
      <c r="V6">
        <v>0.11900000000000002</v>
      </c>
      <c r="W6">
        <v>0.26100000000000001</v>
      </c>
      <c r="X6">
        <v>0.21099999999999997</v>
      </c>
      <c r="Y6">
        <v>0.16600000000000004</v>
      </c>
      <c r="Z6">
        <v>7.0999999999999952E-2</v>
      </c>
      <c r="AA6">
        <v>4.8999999999999932E-2</v>
      </c>
      <c r="AB6">
        <v>4.7000000000000153E-2</v>
      </c>
      <c r="AC6">
        <v>8.2999999999999963E-2</v>
      </c>
      <c r="AD6">
        <v>0.14300000000000002</v>
      </c>
      <c r="AE6">
        <v>0.11499999999999999</v>
      </c>
      <c r="AF6">
        <v>4.0000000000000036E-2</v>
      </c>
      <c r="AG6">
        <v>0.26400000000000001</v>
      </c>
      <c r="AH6">
        <v>0.14499999999999999</v>
      </c>
      <c r="AI6">
        <v>0.26600000000000001</v>
      </c>
      <c r="AJ6">
        <v>0.25800000000000001</v>
      </c>
      <c r="AK6">
        <v>0.26200000000000001</v>
      </c>
      <c r="AL6">
        <v>0.13700000000000001</v>
      </c>
      <c r="AM6">
        <v>6.9000000000000006E-2</v>
      </c>
      <c r="AN6">
        <v>7.0000000000000007E-2</v>
      </c>
      <c r="AO6">
        <v>0.03</v>
      </c>
      <c r="AP6">
        <v>5.8999999999999997E-2</v>
      </c>
      <c r="AQ6">
        <v>4.9000000000000002E-2</v>
      </c>
      <c r="AR6">
        <v>0.10299999999999999</v>
      </c>
      <c r="AS6">
        <v>0.161</v>
      </c>
      <c r="AT6">
        <v>0.16700000000000001</v>
      </c>
      <c r="AU6">
        <v>0.186</v>
      </c>
      <c r="AV6">
        <v>0.105</v>
      </c>
      <c r="AW6">
        <v>0.246</v>
      </c>
      <c r="AX6">
        <v>0.16500000000000001</v>
      </c>
      <c r="AY6">
        <v>8.6999999999999994E-2</v>
      </c>
      <c r="AZ6">
        <v>3.7999999999999999E-2</v>
      </c>
    </row>
    <row r="7" spans="2:56">
      <c r="C7" t="s">
        <v>58</v>
      </c>
      <c r="D7" t="s">
        <v>2715</v>
      </c>
      <c r="F7" t="s">
        <v>2730</v>
      </c>
      <c r="G7" t="s">
        <v>2731</v>
      </c>
      <c r="H7" t="s">
        <v>176</v>
      </c>
      <c r="I7" t="s">
        <v>1802</v>
      </c>
      <c r="J7" t="s">
        <v>2732</v>
      </c>
      <c r="K7" t="s">
        <v>2732</v>
      </c>
      <c r="L7">
        <v>0.18</v>
      </c>
      <c r="M7" s="12">
        <v>40603</v>
      </c>
      <c r="N7">
        <v>3</v>
      </c>
      <c r="O7" t="s">
        <v>67</v>
      </c>
      <c r="P7">
        <v>2011</v>
      </c>
      <c r="Q7">
        <v>0.1163</v>
      </c>
      <c r="R7" s="10"/>
      <c r="S7" s="11">
        <v>0.1163</v>
      </c>
      <c r="T7" s="8"/>
      <c r="U7">
        <v>3.2000000000000001E-2</v>
      </c>
      <c r="V7">
        <v>3.8000000000000006E-2</v>
      </c>
      <c r="W7">
        <v>7.5999999999999984E-2</v>
      </c>
      <c r="X7">
        <v>7.5000000000000011E-2</v>
      </c>
      <c r="Y7">
        <v>5.6000000000000022E-2</v>
      </c>
      <c r="Z7">
        <v>2.4999999999999967E-2</v>
      </c>
      <c r="AA7">
        <v>2.0000000000000018E-3</v>
      </c>
      <c r="AB7">
        <v>8.0000000000000071E-3</v>
      </c>
      <c r="AC7">
        <v>8.0000000000000071E-3</v>
      </c>
      <c r="AD7">
        <v>1.6000000000000014E-2</v>
      </c>
      <c r="AE7">
        <v>3.0999999999999972E-2</v>
      </c>
      <c r="AF7">
        <v>7.1000000000000008E-2</v>
      </c>
      <c r="AG7">
        <v>0.08</v>
      </c>
      <c r="AH7">
        <v>8.1000000000000003E-2</v>
      </c>
      <c r="AI7">
        <v>7.9000000000000001E-2</v>
      </c>
      <c r="AJ7">
        <v>0.08</v>
      </c>
      <c r="AK7">
        <v>3.2000000000000001E-2</v>
      </c>
      <c r="AL7">
        <v>1.4999999999999999E-2</v>
      </c>
      <c r="AM7">
        <v>0.03</v>
      </c>
      <c r="AN7">
        <v>1.4999999999999999E-2</v>
      </c>
      <c r="AO7">
        <v>0.01</v>
      </c>
      <c r="AP7">
        <v>1.4999999999999999E-2</v>
      </c>
      <c r="AQ7">
        <v>1.6E-2</v>
      </c>
      <c r="AR7">
        <v>2.1000000000000001E-2</v>
      </c>
      <c r="AS7">
        <v>2.8000000000000001E-2</v>
      </c>
      <c r="AT7">
        <v>3.7999999999999999E-2</v>
      </c>
      <c r="AU7">
        <v>4.1000000000000002E-2</v>
      </c>
      <c r="AV7">
        <v>2.5000000000000001E-2</v>
      </c>
      <c r="AW7">
        <v>8.7999999999999995E-2</v>
      </c>
      <c r="AX7">
        <v>3.5000000000000003E-2</v>
      </c>
      <c r="AY7">
        <v>6.0000000000000001E-3</v>
      </c>
      <c r="AZ7">
        <v>1.4999999999999999E-2</v>
      </c>
    </row>
    <row r="8" spans="2:56">
      <c r="C8" t="s">
        <v>58</v>
      </c>
      <c r="D8" t="s">
        <v>2715</v>
      </c>
      <c r="F8" t="s">
        <v>2733</v>
      </c>
      <c r="G8" t="s">
        <v>2734</v>
      </c>
      <c r="H8" t="s">
        <v>233</v>
      </c>
      <c r="I8" t="s">
        <v>2735</v>
      </c>
      <c r="J8" t="s">
        <v>2736</v>
      </c>
      <c r="K8" t="s">
        <v>2736</v>
      </c>
      <c r="L8">
        <v>2.2000000000000002</v>
      </c>
      <c r="M8" s="12">
        <v>42250</v>
      </c>
      <c r="N8">
        <v>9</v>
      </c>
      <c r="O8" t="s">
        <v>60</v>
      </c>
      <c r="P8">
        <v>2015</v>
      </c>
      <c r="Q8">
        <v>0.1163</v>
      </c>
      <c r="R8" s="10"/>
      <c r="S8" s="11">
        <v>0.1163</v>
      </c>
      <c r="T8" s="8"/>
      <c r="U8">
        <v>0.221</v>
      </c>
      <c r="V8">
        <v>0.78900000000000003</v>
      </c>
      <c r="W8">
        <v>1.1870000000000001</v>
      </c>
      <c r="X8">
        <v>0.94099999999999984</v>
      </c>
      <c r="Y8">
        <v>0.99000000000000021</v>
      </c>
      <c r="Z8">
        <v>1.1470000000000002</v>
      </c>
      <c r="AA8">
        <v>0.55999999999999961</v>
      </c>
      <c r="AB8">
        <v>0.12300000000000022</v>
      </c>
      <c r="AC8">
        <v>0.44299999999999962</v>
      </c>
      <c r="AD8">
        <v>0.40800000000000036</v>
      </c>
      <c r="AE8">
        <v>1.1299999999999999</v>
      </c>
      <c r="AF8">
        <v>1.0839999999999996</v>
      </c>
      <c r="AG8">
        <v>1.0529999999999999</v>
      </c>
      <c r="AH8">
        <v>0.74099999999999999</v>
      </c>
      <c r="AI8">
        <v>1.012</v>
      </c>
      <c r="AJ8">
        <v>1.014</v>
      </c>
      <c r="AK8">
        <v>0.84399999999999997</v>
      </c>
      <c r="AL8">
        <v>0.77</v>
      </c>
      <c r="AM8">
        <v>0.378</v>
      </c>
      <c r="AN8">
        <v>8.6999999999999994E-2</v>
      </c>
      <c r="AO8">
        <v>0.16900000000000001</v>
      </c>
      <c r="AP8">
        <v>0.42299999999999999</v>
      </c>
      <c r="AQ8">
        <v>0.29099999999999998</v>
      </c>
      <c r="AR8">
        <v>0.35799999999999998</v>
      </c>
      <c r="AS8">
        <v>0.315</v>
      </c>
      <c r="AT8">
        <v>0.73499999999999999</v>
      </c>
      <c r="AU8">
        <v>1.0880000000000001</v>
      </c>
      <c r="AV8">
        <v>1.07</v>
      </c>
      <c r="AW8">
        <v>1.169</v>
      </c>
      <c r="AX8">
        <v>0.84199999999999997</v>
      </c>
      <c r="AY8">
        <v>0.49399999999999999</v>
      </c>
      <c r="AZ8">
        <v>0.33900000000000002</v>
      </c>
    </row>
    <row r="9" spans="2:56">
      <c r="B9" t="s">
        <v>2737</v>
      </c>
      <c r="C9">
        <v>36001847</v>
      </c>
      <c r="D9" t="s">
        <v>2715</v>
      </c>
      <c r="F9" t="s">
        <v>2738</v>
      </c>
      <c r="G9" t="s">
        <v>2739</v>
      </c>
      <c r="H9" t="s">
        <v>62</v>
      </c>
      <c r="I9" t="s">
        <v>2740</v>
      </c>
      <c r="J9" t="s">
        <v>2741</v>
      </c>
      <c r="K9" t="s">
        <v>2742</v>
      </c>
      <c r="L9">
        <v>0.63</v>
      </c>
      <c r="M9" s="12">
        <v>40148</v>
      </c>
      <c r="N9">
        <v>12</v>
      </c>
      <c r="O9" t="s">
        <v>71</v>
      </c>
      <c r="P9">
        <v>2009</v>
      </c>
      <c r="Q9">
        <v>0.1163</v>
      </c>
      <c r="R9" s="10"/>
      <c r="S9" s="11">
        <v>0.1163</v>
      </c>
      <c r="T9" s="8"/>
      <c r="U9">
        <v>0.20499999999999999</v>
      </c>
      <c r="V9">
        <v>0.28900000000000003</v>
      </c>
      <c r="W9">
        <v>0.48299999999999998</v>
      </c>
      <c r="X9">
        <v>0.33799999999999997</v>
      </c>
      <c r="Y9">
        <v>0.28100000000000014</v>
      </c>
      <c r="Z9">
        <v>0.18299999999999983</v>
      </c>
      <c r="AA9">
        <v>0.15700000000000003</v>
      </c>
      <c r="AB9">
        <v>0.13300000000000001</v>
      </c>
      <c r="AC9">
        <v>0.17500000000000027</v>
      </c>
      <c r="AD9">
        <v>0.25999999999999979</v>
      </c>
      <c r="AE9">
        <v>0.2330000000000001</v>
      </c>
      <c r="AF9">
        <v>0.2629999999999999</v>
      </c>
      <c r="AG9">
        <v>0.26600000000000001</v>
      </c>
      <c r="AH9">
        <v>0.24399999999999999</v>
      </c>
      <c r="AI9">
        <v>0.377</v>
      </c>
      <c r="AJ9">
        <v>0.379</v>
      </c>
      <c r="AK9">
        <v>0.22500000000000001</v>
      </c>
      <c r="AL9">
        <v>0.17799999999999999</v>
      </c>
      <c r="AM9">
        <v>0.214</v>
      </c>
      <c r="AN9">
        <v>0.247</v>
      </c>
      <c r="AO9">
        <v>0.218</v>
      </c>
      <c r="AP9">
        <v>0.26200000000000001</v>
      </c>
      <c r="AQ9">
        <v>0.20200000000000001</v>
      </c>
      <c r="AR9">
        <v>0.22900000000000001</v>
      </c>
      <c r="AS9">
        <v>0.27500000000000002</v>
      </c>
      <c r="AT9">
        <v>0.28599999999999998</v>
      </c>
      <c r="AU9">
        <v>0.307</v>
      </c>
      <c r="AV9">
        <v>0.26</v>
      </c>
      <c r="AW9">
        <v>0.42899999999999999</v>
      </c>
      <c r="AX9">
        <v>0.376</v>
      </c>
      <c r="AY9">
        <v>0.221</v>
      </c>
      <c r="AZ9">
        <v>0.17499999999999999</v>
      </c>
    </row>
    <row r="10" spans="2:56">
      <c r="B10" t="s">
        <v>2743</v>
      </c>
      <c r="C10">
        <v>36001847</v>
      </c>
      <c r="D10" t="s">
        <v>2715</v>
      </c>
      <c r="F10" t="s">
        <v>2738</v>
      </c>
      <c r="G10" t="s">
        <v>2744</v>
      </c>
      <c r="H10" t="s">
        <v>62</v>
      </c>
      <c r="I10" t="s">
        <v>2740</v>
      </c>
      <c r="J10" t="s">
        <v>2741</v>
      </c>
      <c r="K10" t="s">
        <v>2745</v>
      </c>
      <c r="L10">
        <v>1.44</v>
      </c>
      <c r="M10" s="12">
        <v>42236</v>
      </c>
      <c r="N10">
        <v>8</v>
      </c>
      <c r="O10" t="s">
        <v>60</v>
      </c>
      <c r="P10">
        <v>2015</v>
      </c>
      <c r="Q10">
        <v>0.1163</v>
      </c>
      <c r="R10" s="10"/>
      <c r="S10" s="11">
        <v>0.1163</v>
      </c>
      <c r="T10" s="8"/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2:56">
      <c r="B11" t="s">
        <v>2746</v>
      </c>
      <c r="C11">
        <v>36001847</v>
      </c>
      <c r="D11" t="s">
        <v>2715</v>
      </c>
      <c r="F11" t="s">
        <v>2738</v>
      </c>
      <c r="G11" t="s">
        <v>2747</v>
      </c>
      <c r="H11" t="s">
        <v>98</v>
      </c>
      <c r="I11" t="s">
        <v>2748</v>
      </c>
      <c r="J11" t="s">
        <v>2749</v>
      </c>
      <c r="K11" t="s">
        <v>2749</v>
      </c>
      <c r="L11">
        <v>0.16500000000000001</v>
      </c>
      <c r="M11" s="12">
        <v>41463</v>
      </c>
      <c r="N11">
        <v>7</v>
      </c>
      <c r="O11" t="s">
        <v>60</v>
      </c>
      <c r="P11">
        <v>2013</v>
      </c>
      <c r="Q11">
        <v>0.19389999999999999</v>
      </c>
      <c r="R11" s="10"/>
      <c r="S11" s="11">
        <v>0.19389999999999999</v>
      </c>
      <c r="T11" s="8"/>
      <c r="U11">
        <v>4.1000000000000002E-2</v>
      </c>
      <c r="V11">
        <v>6.8000000000000005E-2</v>
      </c>
      <c r="W11">
        <v>9.5999999999999988E-2</v>
      </c>
      <c r="X11">
        <v>5.5000000000000021E-2</v>
      </c>
      <c r="Y11">
        <v>8.5999999999999965E-2</v>
      </c>
      <c r="Z11">
        <v>4.3000000000000038E-2</v>
      </c>
      <c r="AA11">
        <v>3.6999999999999977E-2</v>
      </c>
      <c r="AB11">
        <v>1.8000000000000016E-2</v>
      </c>
      <c r="AC11">
        <v>4.3999999999999984E-2</v>
      </c>
      <c r="AD11">
        <v>4.500000000000004E-2</v>
      </c>
      <c r="AE11">
        <v>6.899999999999995E-2</v>
      </c>
      <c r="AF11">
        <v>8.2000000000000073E-2</v>
      </c>
      <c r="AG11">
        <v>8.5000000000000006E-2</v>
      </c>
      <c r="AH11">
        <v>6.5000000000000002E-2</v>
      </c>
      <c r="AI11">
        <v>0.06</v>
      </c>
      <c r="AJ11">
        <v>7.8E-2</v>
      </c>
      <c r="AK11">
        <v>3.4000000000000002E-2</v>
      </c>
      <c r="AL11">
        <v>5.5E-2</v>
      </c>
      <c r="AM11">
        <v>8.4000000000000005E-2</v>
      </c>
      <c r="AN11">
        <v>4.8000000000000001E-2</v>
      </c>
      <c r="AO11">
        <v>3.3000000000000002E-2</v>
      </c>
      <c r="AP11">
        <v>2.7E-2</v>
      </c>
      <c r="AQ11">
        <v>0.03</v>
      </c>
      <c r="AR11">
        <v>6.4000000000000001E-2</v>
      </c>
      <c r="AS11">
        <v>6.4000000000000001E-2</v>
      </c>
      <c r="AT11">
        <v>7.3999999999999996E-2</v>
      </c>
      <c r="AU11">
        <v>6.2E-2</v>
      </c>
      <c r="AV11">
        <v>3.5999999999999997E-2</v>
      </c>
      <c r="AW11">
        <v>8.3000000000000004E-2</v>
      </c>
      <c r="AX11">
        <v>7.5999999999999998E-2</v>
      </c>
      <c r="AY11">
        <v>3.3000000000000002E-2</v>
      </c>
      <c r="AZ11">
        <v>0.04</v>
      </c>
    </row>
    <row r="12" spans="2:56">
      <c r="C12" t="s">
        <v>58</v>
      </c>
      <c r="D12" t="s">
        <v>2715</v>
      </c>
      <c r="F12" t="s">
        <v>2750</v>
      </c>
      <c r="G12" t="s">
        <v>2751</v>
      </c>
      <c r="H12" t="s">
        <v>233</v>
      </c>
      <c r="I12" t="s">
        <v>2752</v>
      </c>
      <c r="J12" t="s">
        <v>2752</v>
      </c>
      <c r="K12" t="s">
        <v>2753</v>
      </c>
      <c r="L12">
        <v>1.92</v>
      </c>
      <c r="M12" s="12">
        <v>42780</v>
      </c>
      <c r="N12">
        <v>2</v>
      </c>
      <c r="O12" t="s">
        <v>67</v>
      </c>
      <c r="P12">
        <v>2017</v>
      </c>
      <c r="Q12">
        <v>0.1163</v>
      </c>
      <c r="R12" s="10"/>
      <c r="S12" s="11">
        <v>0.1163</v>
      </c>
      <c r="T12" s="8"/>
      <c r="U12">
        <v>0</v>
      </c>
      <c r="V12">
        <v>0.46200000000000002</v>
      </c>
      <c r="W12">
        <v>0.3</v>
      </c>
      <c r="X12">
        <v>0.79200000000000004</v>
      </c>
      <c r="Y12">
        <v>0.54100000000000015</v>
      </c>
      <c r="Z12">
        <v>0.37199999999999989</v>
      </c>
      <c r="AA12">
        <v>0.41799999999999971</v>
      </c>
      <c r="AB12">
        <v>0.17100000000000026</v>
      </c>
      <c r="AC12">
        <v>0.15799999999999992</v>
      </c>
      <c r="AD12">
        <v>0.2240000000000002</v>
      </c>
      <c r="AE12">
        <v>0.49499999999999966</v>
      </c>
      <c r="AF12">
        <v>0.50499999999999989</v>
      </c>
      <c r="AG12">
        <v>0.56699999999999995</v>
      </c>
      <c r="AH12">
        <v>0.623</v>
      </c>
      <c r="AI12">
        <v>0.68100000000000005</v>
      </c>
      <c r="AJ12">
        <v>0.76200000000000001</v>
      </c>
      <c r="AK12">
        <v>0.51900000000000002</v>
      </c>
      <c r="AL12">
        <v>0.35399999999999998</v>
      </c>
      <c r="AM12">
        <v>0.33300000000000002</v>
      </c>
      <c r="AN12">
        <v>6.6000000000000003E-2</v>
      </c>
      <c r="AO12">
        <v>5.3999999999999999E-2</v>
      </c>
      <c r="AP12">
        <v>8.3000000000000004E-2</v>
      </c>
      <c r="AQ12">
        <v>0.125</v>
      </c>
      <c r="AR12">
        <v>0.43099999999999999</v>
      </c>
      <c r="AS12">
        <v>0.60899999999999999</v>
      </c>
      <c r="AT12">
        <v>1.2769999999999999</v>
      </c>
      <c r="AU12">
        <v>1.8</v>
      </c>
      <c r="AV12">
        <v>1.3919999999999999</v>
      </c>
      <c r="AW12">
        <v>1.7549999999999999</v>
      </c>
      <c r="AX12">
        <v>1.0149999999999999</v>
      </c>
      <c r="AY12">
        <v>0.24199999999999999</v>
      </c>
      <c r="AZ12">
        <v>0.24099999999999999</v>
      </c>
    </row>
    <row r="13" spans="2:56">
      <c r="C13" t="s">
        <v>58</v>
      </c>
      <c r="D13" t="s">
        <v>2715</v>
      </c>
      <c r="F13" t="s">
        <v>2750</v>
      </c>
      <c r="G13" t="s">
        <v>2754</v>
      </c>
      <c r="H13" t="s">
        <v>233</v>
      </c>
      <c r="I13" t="s">
        <v>289</v>
      </c>
      <c r="J13" t="s">
        <v>2755</v>
      </c>
      <c r="K13" t="s">
        <v>2756</v>
      </c>
      <c r="L13">
        <v>2.65</v>
      </c>
      <c r="M13" s="12">
        <v>42794</v>
      </c>
      <c r="N13">
        <v>2</v>
      </c>
      <c r="O13" t="s">
        <v>67</v>
      </c>
      <c r="P13">
        <v>2017</v>
      </c>
      <c r="Q13">
        <v>0.1163</v>
      </c>
      <c r="R13" s="10"/>
      <c r="S13" s="11">
        <v>0.1163</v>
      </c>
      <c r="T13" s="8"/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2:56">
      <c r="C14" t="s">
        <v>58</v>
      </c>
      <c r="D14" t="s">
        <v>2715</v>
      </c>
      <c r="F14" t="s">
        <v>427</v>
      </c>
      <c r="G14" t="s">
        <v>2757</v>
      </c>
      <c r="H14" t="s">
        <v>82</v>
      </c>
      <c r="I14" t="s">
        <v>338</v>
      </c>
      <c r="J14" t="s">
        <v>2758</v>
      </c>
      <c r="K14" t="s">
        <v>2759</v>
      </c>
      <c r="L14">
        <v>0.95</v>
      </c>
      <c r="M14" s="12">
        <v>42794</v>
      </c>
      <c r="N14">
        <v>2</v>
      </c>
      <c r="O14" t="s">
        <v>67</v>
      </c>
      <c r="P14">
        <v>2017</v>
      </c>
      <c r="Q14">
        <v>0.1163</v>
      </c>
      <c r="R14" s="10"/>
      <c r="S14" s="11">
        <v>0.1163</v>
      </c>
      <c r="T14" s="8"/>
      <c r="U14">
        <v>0</v>
      </c>
      <c r="V14">
        <v>0</v>
      </c>
      <c r="W14">
        <v>0</v>
      </c>
      <c r="X14">
        <v>0</v>
      </c>
      <c r="Y14">
        <v>0</v>
      </c>
      <c r="Z14">
        <v>0.28799999999999998</v>
      </c>
      <c r="AA14">
        <v>0.23800000000000004</v>
      </c>
      <c r="AB14">
        <v>0.15200000000000002</v>
      </c>
      <c r="AC14">
        <v>0</v>
      </c>
      <c r="AD14">
        <v>0.17299999999999993</v>
      </c>
      <c r="AE14">
        <v>0.42799999999999994</v>
      </c>
      <c r="AF14">
        <v>0.45700000000000007</v>
      </c>
      <c r="AG14">
        <v>0.47399999999999998</v>
      </c>
      <c r="AH14">
        <v>0.438</v>
      </c>
      <c r="AI14">
        <v>0.51800000000000002</v>
      </c>
      <c r="AJ14">
        <v>0.51300000000000001</v>
      </c>
      <c r="AK14">
        <v>0.38500000000000001</v>
      </c>
      <c r="AL14">
        <v>0.28899999999999998</v>
      </c>
      <c r="AM14">
        <v>0.34</v>
      </c>
      <c r="AN14">
        <v>0.27800000000000002</v>
      </c>
      <c r="AO14">
        <v>0.28499999999999998</v>
      </c>
      <c r="AP14">
        <v>0.41799999999999998</v>
      </c>
      <c r="AQ14">
        <v>0.46100000000000002</v>
      </c>
      <c r="AR14">
        <v>0.46800000000000003</v>
      </c>
      <c r="AS14">
        <v>0.47699999999999998</v>
      </c>
      <c r="AT14">
        <v>0.46899999999999997</v>
      </c>
      <c r="AU14">
        <v>0.53500000000000003</v>
      </c>
      <c r="AV14">
        <v>0.45900000000000002</v>
      </c>
      <c r="AW14">
        <v>0.51400000000000001</v>
      </c>
      <c r="AX14">
        <v>0.48299999999999998</v>
      </c>
      <c r="AY14">
        <v>0.34599999999999997</v>
      </c>
      <c r="AZ14">
        <v>0.28100000000000003</v>
      </c>
    </row>
    <row r="15" spans="2:56">
      <c r="B15" t="s">
        <v>2760</v>
      </c>
      <c r="C15">
        <v>31564985</v>
      </c>
      <c r="D15" t="s">
        <v>2715</v>
      </c>
      <c r="F15" t="s">
        <v>2761</v>
      </c>
      <c r="G15" t="s">
        <v>2762</v>
      </c>
      <c r="H15" t="s">
        <v>172</v>
      </c>
      <c r="I15" t="s">
        <v>2763</v>
      </c>
      <c r="J15" t="s">
        <v>2764</v>
      </c>
      <c r="K15" t="s">
        <v>2764</v>
      </c>
      <c r="L15">
        <v>0.8</v>
      </c>
      <c r="M15" s="12">
        <v>40026</v>
      </c>
      <c r="N15">
        <v>8</v>
      </c>
      <c r="O15" t="s">
        <v>60</v>
      </c>
      <c r="P15">
        <v>2009</v>
      </c>
      <c r="Q15">
        <v>0.1163</v>
      </c>
      <c r="R15" s="10"/>
      <c r="S15" s="11">
        <v>0.1163</v>
      </c>
      <c r="T15" s="8"/>
      <c r="U15">
        <v>0.155</v>
      </c>
      <c r="V15">
        <v>0.18500000000000003</v>
      </c>
      <c r="W15">
        <v>0.42099999999999999</v>
      </c>
      <c r="X15">
        <v>0.20099999999999996</v>
      </c>
      <c r="Y15">
        <v>0.15400000000000014</v>
      </c>
      <c r="Z15">
        <v>8.9999999999999858E-2</v>
      </c>
      <c r="AA15">
        <v>9.6999999999999975E-2</v>
      </c>
      <c r="AB15">
        <v>7.4999999999999956E-2</v>
      </c>
      <c r="AC15">
        <v>0.17100000000000004</v>
      </c>
      <c r="AD15">
        <v>0.18400000000000016</v>
      </c>
      <c r="AE15">
        <v>0.17599999999999993</v>
      </c>
      <c r="AF15">
        <v>0.21500000000000008</v>
      </c>
      <c r="AG15">
        <v>0.214</v>
      </c>
      <c r="AH15">
        <v>0.18</v>
      </c>
      <c r="AI15">
        <v>0.33600000000000002</v>
      </c>
      <c r="AJ15">
        <v>0.248</v>
      </c>
      <c r="AK15">
        <v>0.113</v>
      </c>
      <c r="AL15">
        <v>9.2999999999999999E-2</v>
      </c>
      <c r="AM15">
        <v>0.11</v>
      </c>
      <c r="AN15">
        <v>8.5999999999999993E-2</v>
      </c>
      <c r="AO15">
        <v>0.106</v>
      </c>
      <c r="AP15">
        <v>0.13400000000000001</v>
      </c>
      <c r="AQ15">
        <v>0.10299999999999999</v>
      </c>
      <c r="AR15">
        <v>0.14499999999999999</v>
      </c>
      <c r="AS15">
        <v>0.153</v>
      </c>
      <c r="AT15">
        <v>0.185</v>
      </c>
      <c r="AU15">
        <v>0.16400000000000001</v>
      </c>
      <c r="AV15">
        <v>0.121</v>
      </c>
      <c r="AW15">
        <v>0.27100000000000002</v>
      </c>
      <c r="AX15">
        <v>0.20300000000000001</v>
      </c>
      <c r="AY15">
        <v>9.5000000000000001E-2</v>
      </c>
      <c r="AZ15">
        <v>8.1000000000000003E-2</v>
      </c>
    </row>
    <row r="16" spans="2:56">
      <c r="B16" t="s">
        <v>2765</v>
      </c>
      <c r="C16">
        <v>31564985</v>
      </c>
      <c r="D16" t="s">
        <v>2715</v>
      </c>
      <c r="F16" t="s">
        <v>2761</v>
      </c>
      <c r="G16" t="s">
        <v>2766</v>
      </c>
      <c r="H16" t="s">
        <v>172</v>
      </c>
      <c r="I16" t="s">
        <v>2767</v>
      </c>
      <c r="J16" t="s">
        <v>2768</v>
      </c>
      <c r="K16" t="s">
        <v>2768</v>
      </c>
      <c r="L16">
        <v>0.13200000000000001</v>
      </c>
      <c r="M16" s="12">
        <v>41284</v>
      </c>
      <c r="N16">
        <v>1</v>
      </c>
      <c r="O16" t="s">
        <v>67</v>
      </c>
      <c r="P16">
        <v>2013</v>
      </c>
      <c r="Q16">
        <v>0.1163</v>
      </c>
      <c r="R16" s="10"/>
      <c r="S16" s="11">
        <v>0.1163</v>
      </c>
      <c r="T16" s="8"/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3:52">
      <c r="C17" t="s">
        <v>58</v>
      </c>
      <c r="D17" t="s">
        <v>2715</v>
      </c>
      <c r="F17" t="s">
        <v>2769</v>
      </c>
      <c r="G17" t="s">
        <v>2770</v>
      </c>
      <c r="H17" t="s">
        <v>233</v>
      </c>
      <c r="I17" t="s">
        <v>2771</v>
      </c>
      <c r="K17" t="s">
        <v>2772</v>
      </c>
      <c r="L17">
        <v>0.996</v>
      </c>
      <c r="M17" s="12">
        <v>42586</v>
      </c>
      <c r="N17">
        <v>8</v>
      </c>
      <c r="O17" t="s">
        <v>60</v>
      </c>
      <c r="P17">
        <v>2016</v>
      </c>
      <c r="Q17">
        <v>0.13950000000000001</v>
      </c>
      <c r="R17" s="10"/>
      <c r="S17" s="11">
        <v>0.13950000000000001</v>
      </c>
      <c r="T17" s="8"/>
      <c r="U17">
        <v>0.121</v>
      </c>
      <c r="V17">
        <v>0.40800000000000003</v>
      </c>
      <c r="W17">
        <v>0.66099999999999992</v>
      </c>
      <c r="X17">
        <v>0.65500000000000003</v>
      </c>
      <c r="Y17">
        <v>0.65800000000000014</v>
      </c>
      <c r="Z17">
        <v>0.60999999999999988</v>
      </c>
      <c r="AA17">
        <v>0.49699999999999989</v>
      </c>
      <c r="AB17">
        <v>0.19100000000000028</v>
      </c>
      <c r="AC17">
        <v>0.41899999999999959</v>
      </c>
      <c r="AD17">
        <v>0.30900000000000016</v>
      </c>
      <c r="AE17">
        <v>0.59499999999999975</v>
      </c>
      <c r="AF17">
        <v>0.63500000000000068</v>
      </c>
      <c r="AG17">
        <v>0.49299999999999999</v>
      </c>
      <c r="AH17">
        <v>0.33500000000000002</v>
      </c>
      <c r="AI17">
        <v>0.49299999999999999</v>
      </c>
      <c r="AJ17">
        <v>0.65800000000000003</v>
      </c>
      <c r="AK17">
        <v>0.58299999999999996</v>
      </c>
      <c r="AL17">
        <v>0.503</v>
      </c>
      <c r="AM17">
        <v>0.56899999999999995</v>
      </c>
      <c r="AN17">
        <v>0.23599999999999999</v>
      </c>
      <c r="AO17">
        <v>0.21199999999999999</v>
      </c>
      <c r="AP17">
        <v>0.125</v>
      </c>
      <c r="AQ17">
        <v>0.155</v>
      </c>
      <c r="AR17">
        <v>0.16600000000000001</v>
      </c>
      <c r="AS17">
        <v>0.245</v>
      </c>
      <c r="AT17">
        <v>0.51800000000000002</v>
      </c>
      <c r="AU17">
        <v>1.085</v>
      </c>
      <c r="AV17">
        <v>1.3420000000000001</v>
      </c>
      <c r="AW17">
        <v>1.3280000000000001</v>
      </c>
      <c r="AX17">
        <v>1.1439999999999999</v>
      </c>
      <c r="AY17">
        <v>0.77900000000000003</v>
      </c>
      <c r="AZ17">
        <v>0.627</v>
      </c>
    </row>
    <row r="18" spans="3:52">
      <c r="C18" t="s">
        <v>58</v>
      </c>
      <c r="D18" t="s">
        <v>2715</v>
      </c>
      <c r="F18" t="s">
        <v>2769</v>
      </c>
      <c r="G18" t="s">
        <v>2770</v>
      </c>
      <c r="H18" t="s">
        <v>233</v>
      </c>
      <c r="I18" t="s">
        <v>2771</v>
      </c>
      <c r="J18" t="s">
        <v>2773</v>
      </c>
      <c r="K18" t="s">
        <v>2774</v>
      </c>
      <c r="L18">
        <v>0.996</v>
      </c>
      <c r="M18" s="12">
        <v>43448</v>
      </c>
      <c r="N18">
        <v>12</v>
      </c>
      <c r="O18" t="s">
        <v>71</v>
      </c>
      <c r="P18">
        <v>2018</v>
      </c>
      <c r="Q18">
        <v>0.13950000000000001</v>
      </c>
      <c r="R18" s="10"/>
      <c r="S18" s="11">
        <v>0.13950000000000001</v>
      </c>
      <c r="T18" s="8"/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0.161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3:52">
      <c r="C19" t="s">
        <v>58</v>
      </c>
      <c r="D19" t="s">
        <v>2715</v>
      </c>
      <c r="F19" t="s">
        <v>2775</v>
      </c>
      <c r="G19" t="s">
        <v>2776</v>
      </c>
      <c r="H19" t="s">
        <v>163</v>
      </c>
      <c r="I19" t="s">
        <v>720</v>
      </c>
      <c r="J19" t="s">
        <v>2777</v>
      </c>
      <c r="K19" t="s">
        <v>2778</v>
      </c>
      <c r="L19">
        <v>0.22</v>
      </c>
      <c r="M19" s="12">
        <v>41998</v>
      </c>
      <c r="N19">
        <v>12</v>
      </c>
      <c r="O19" t="s">
        <v>71</v>
      </c>
      <c r="P19">
        <v>2014</v>
      </c>
      <c r="Q19">
        <v>0.15509999999999999</v>
      </c>
      <c r="R19" s="10"/>
      <c r="S19" s="11">
        <v>0.15509999999999999</v>
      </c>
      <c r="T19" s="8"/>
      <c r="U19">
        <v>2.8000000000000001E-2</v>
      </c>
      <c r="V19">
        <v>0.06</v>
      </c>
      <c r="W19">
        <v>0.157</v>
      </c>
      <c r="X19">
        <v>5.2999999999999992E-2</v>
      </c>
      <c r="Y19">
        <v>9.000000000000008E-3</v>
      </c>
      <c r="Z19">
        <v>9.000000000000008E-3</v>
      </c>
      <c r="AA19">
        <v>0</v>
      </c>
      <c r="AB19">
        <v>4.0000000000000036E-3</v>
      </c>
      <c r="AC19">
        <v>0</v>
      </c>
      <c r="AD19">
        <v>2.6999999999999968E-2</v>
      </c>
      <c r="AE19">
        <v>5.5000000000000049E-2</v>
      </c>
      <c r="AF19">
        <v>5.6999999999999995E-2</v>
      </c>
      <c r="AG19">
        <v>5.8000000000000003E-2</v>
      </c>
      <c r="AH19">
        <v>5.5E-2</v>
      </c>
      <c r="AI19">
        <v>8.4000000000000005E-2</v>
      </c>
      <c r="AJ19">
        <v>8.6999999999999994E-2</v>
      </c>
      <c r="AK19">
        <v>2.3E-2</v>
      </c>
      <c r="AL19">
        <v>5.0000000000000001E-3</v>
      </c>
      <c r="AM19">
        <v>8.9999999999999993E-3</v>
      </c>
      <c r="AN19">
        <v>3.0000000000000001E-3</v>
      </c>
      <c r="AO19">
        <v>1.2999999999999999E-2</v>
      </c>
      <c r="AP19">
        <v>8.2000000000000003E-2</v>
      </c>
      <c r="AQ19">
        <v>7.8E-2</v>
      </c>
      <c r="AR19">
        <v>4.3999999999999997E-2</v>
      </c>
      <c r="AS19">
        <v>4.1000000000000002E-2</v>
      </c>
      <c r="AT19">
        <v>9.7000000000000003E-2</v>
      </c>
      <c r="AU19">
        <v>8.6999999999999994E-2</v>
      </c>
      <c r="AV19">
        <v>5.5E-2</v>
      </c>
      <c r="AW19">
        <v>3.4000000000000002E-2</v>
      </c>
      <c r="AX19">
        <v>8.7999999999999995E-2</v>
      </c>
      <c r="AY19">
        <v>1E-3</v>
      </c>
      <c r="AZ19">
        <v>5.0000000000000001E-3</v>
      </c>
    </row>
    <row r="20" spans="3:52">
      <c r="C20" t="s">
        <v>58</v>
      </c>
      <c r="D20" t="s">
        <v>2715</v>
      </c>
      <c r="F20" t="s">
        <v>2775</v>
      </c>
      <c r="G20" t="s">
        <v>2779</v>
      </c>
      <c r="H20" t="s">
        <v>163</v>
      </c>
      <c r="I20" t="s">
        <v>720</v>
      </c>
      <c r="J20" t="s">
        <v>2780</v>
      </c>
      <c r="K20" t="s">
        <v>2781</v>
      </c>
      <c r="L20">
        <v>0.22</v>
      </c>
      <c r="M20" s="12">
        <v>41998</v>
      </c>
      <c r="N20">
        <v>12</v>
      </c>
      <c r="O20" t="s">
        <v>71</v>
      </c>
      <c r="P20">
        <v>2014</v>
      </c>
      <c r="Q20">
        <v>0.15509999999999999</v>
      </c>
      <c r="R20" s="10"/>
      <c r="S20" s="11">
        <v>0.15509999999999999</v>
      </c>
      <c r="T20" s="8"/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3:52">
      <c r="C21" t="s">
        <v>58</v>
      </c>
      <c r="D21" t="s">
        <v>2715</v>
      </c>
      <c r="F21" t="s">
        <v>2782</v>
      </c>
      <c r="G21" t="s">
        <v>2783</v>
      </c>
      <c r="H21" t="s">
        <v>198</v>
      </c>
      <c r="I21" t="s">
        <v>516</v>
      </c>
      <c r="J21" t="s">
        <v>2784</v>
      </c>
      <c r="K21" t="s">
        <v>2785</v>
      </c>
      <c r="L21">
        <v>0.19400000000000001</v>
      </c>
      <c r="M21" s="12">
        <v>42712</v>
      </c>
      <c r="N21">
        <v>12</v>
      </c>
      <c r="O21" t="s">
        <v>71</v>
      </c>
      <c r="P21">
        <v>2016</v>
      </c>
      <c r="Q21">
        <v>0.17449999999999999</v>
      </c>
      <c r="R21" s="10"/>
      <c r="S21" s="11">
        <v>0.17449999999999999</v>
      </c>
      <c r="T21" s="8"/>
      <c r="U21">
        <v>0</v>
      </c>
      <c r="V21">
        <v>3.5999999999999997E-2</v>
      </c>
      <c r="W21">
        <v>8.7999999999999995E-2</v>
      </c>
      <c r="X21">
        <v>6.4000000000000001E-2</v>
      </c>
      <c r="Y21">
        <v>5.1999999999999991E-2</v>
      </c>
      <c r="Z21">
        <v>4.0000000000000036E-2</v>
      </c>
      <c r="AA21">
        <v>2.6999999999999968E-2</v>
      </c>
      <c r="AB21">
        <v>2.5000000000000022E-2</v>
      </c>
      <c r="AC21">
        <v>3.7999999999999978E-2</v>
      </c>
      <c r="AD21">
        <v>6.3E-2</v>
      </c>
      <c r="AE21">
        <v>6.8000000000000005E-2</v>
      </c>
      <c r="AF21">
        <v>6.899999999999995E-2</v>
      </c>
      <c r="AG21">
        <v>5.8999999999999997E-2</v>
      </c>
      <c r="AH21">
        <v>5.0999999999999997E-2</v>
      </c>
      <c r="AI21">
        <v>8.7999999999999995E-2</v>
      </c>
      <c r="AJ21">
        <v>6.2E-2</v>
      </c>
      <c r="AK21">
        <v>3.4000000000000002E-2</v>
      </c>
      <c r="AL21">
        <v>0.03</v>
      </c>
      <c r="AM21">
        <v>6.3E-2</v>
      </c>
      <c r="AN21">
        <v>3.9E-2</v>
      </c>
      <c r="AO21">
        <v>4.1000000000000002E-2</v>
      </c>
      <c r="AP21">
        <v>6.9000000000000006E-2</v>
      </c>
      <c r="AQ21">
        <v>6.6000000000000003E-2</v>
      </c>
      <c r="AR21">
        <v>5.8999999999999997E-2</v>
      </c>
      <c r="AS21">
        <v>5.7000000000000002E-2</v>
      </c>
      <c r="AT21">
        <v>7.0000000000000007E-2</v>
      </c>
      <c r="AU21">
        <v>5.8999999999999997E-2</v>
      </c>
      <c r="AV21">
        <v>4.8000000000000001E-2</v>
      </c>
      <c r="AW21">
        <v>7.6999999999999999E-2</v>
      </c>
      <c r="AX21">
        <v>8.2000000000000003E-2</v>
      </c>
      <c r="AY21">
        <v>4.2999999999999997E-2</v>
      </c>
      <c r="AZ21">
        <v>3.5999999999999997E-2</v>
      </c>
    </row>
    <row r="22" spans="3:52">
      <c r="C22" t="s">
        <v>58</v>
      </c>
      <c r="D22" t="s">
        <v>2715</v>
      </c>
      <c r="F22" t="s">
        <v>2786</v>
      </c>
      <c r="G22" t="s">
        <v>2787</v>
      </c>
      <c r="H22" t="s">
        <v>73</v>
      </c>
      <c r="I22" t="s">
        <v>2788</v>
      </c>
      <c r="K22" t="s">
        <v>2789</v>
      </c>
      <c r="L22">
        <v>0.14499999999999999</v>
      </c>
      <c r="M22" s="12">
        <v>42831</v>
      </c>
      <c r="N22">
        <v>4</v>
      </c>
      <c r="O22" t="s">
        <v>57</v>
      </c>
      <c r="P22">
        <v>2017</v>
      </c>
      <c r="Q22">
        <v>0.17449999999999999</v>
      </c>
      <c r="R22" s="10">
        <v>0.1</v>
      </c>
      <c r="S22" s="11">
        <v>0.19194999999999998</v>
      </c>
      <c r="T22" s="8">
        <v>42831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8.0000000000000002E-3</v>
      </c>
      <c r="AD22">
        <v>2.5000000000000001E-2</v>
      </c>
      <c r="AE22">
        <v>2.5000000000000001E-2</v>
      </c>
      <c r="AF22">
        <v>2.3E-2</v>
      </c>
      <c r="AG22">
        <v>4.1000000000000002E-2</v>
      </c>
      <c r="AH22">
        <v>6.8000000000000005E-2</v>
      </c>
      <c r="AI22">
        <v>8.3000000000000004E-2</v>
      </c>
      <c r="AJ22">
        <v>7.9000000000000001E-2</v>
      </c>
      <c r="AK22">
        <v>0.08</v>
      </c>
      <c r="AL22">
        <v>9.6000000000000002E-2</v>
      </c>
      <c r="AM22">
        <v>9.8000000000000004E-2</v>
      </c>
      <c r="AN22">
        <v>0.04</v>
      </c>
      <c r="AO22">
        <v>8.9999999999999993E-3</v>
      </c>
      <c r="AP22">
        <v>1.0999999999999999E-2</v>
      </c>
      <c r="AQ22">
        <v>1.4999999999999999E-2</v>
      </c>
      <c r="AR22">
        <v>3.9E-2</v>
      </c>
      <c r="AS22">
        <v>5.2999999999999999E-2</v>
      </c>
      <c r="AT22">
        <v>9.2999999999999999E-2</v>
      </c>
      <c r="AU22">
        <v>5.8000000000000003E-2</v>
      </c>
      <c r="AV22">
        <v>8.7999999999999995E-2</v>
      </c>
      <c r="AW22">
        <v>9.8000000000000004E-2</v>
      </c>
      <c r="AX22">
        <v>9.4E-2</v>
      </c>
      <c r="AY22">
        <v>0.1</v>
      </c>
      <c r="AZ22">
        <v>5.3999999999999999E-2</v>
      </c>
    </row>
    <row r="23" spans="3:52">
      <c r="C23" t="s">
        <v>58</v>
      </c>
      <c r="D23" t="s">
        <v>2715</v>
      </c>
      <c r="F23" t="s">
        <v>2790</v>
      </c>
      <c r="G23" t="s">
        <v>2791</v>
      </c>
      <c r="H23" t="s">
        <v>185</v>
      </c>
      <c r="I23" t="s">
        <v>2792</v>
      </c>
      <c r="L23">
        <v>4.048</v>
      </c>
      <c r="M23" s="12">
        <v>40483</v>
      </c>
      <c r="N23">
        <v>11</v>
      </c>
      <c r="O23" t="s">
        <v>71</v>
      </c>
      <c r="P23">
        <v>2010</v>
      </c>
      <c r="Q23">
        <v>0.1163</v>
      </c>
      <c r="R23" s="10"/>
      <c r="S23" s="11">
        <v>0.1163</v>
      </c>
      <c r="T23" s="8"/>
      <c r="U23">
        <v>1.4730000000000001</v>
      </c>
      <c r="V23">
        <v>2.0270000000000001</v>
      </c>
      <c r="W23">
        <v>2.4219999999999997</v>
      </c>
      <c r="X23">
        <v>2.1079999999999997</v>
      </c>
      <c r="Y23">
        <v>1.891</v>
      </c>
      <c r="Z23">
        <v>1.3060000000000009</v>
      </c>
      <c r="AA23">
        <v>1.3650000000000002</v>
      </c>
      <c r="AB23">
        <v>1.3620000000000001</v>
      </c>
      <c r="AC23">
        <v>1.266</v>
      </c>
      <c r="AD23">
        <v>1.2939999999999987</v>
      </c>
      <c r="AE23">
        <v>1.282</v>
      </c>
      <c r="AF23">
        <v>1.5019999999999989</v>
      </c>
      <c r="AG23">
        <v>2.3679999999999999</v>
      </c>
      <c r="AH23">
        <v>2.016</v>
      </c>
      <c r="AI23">
        <v>2.206</v>
      </c>
      <c r="AJ23">
        <v>1.829</v>
      </c>
      <c r="AK23">
        <v>2.6259999999999999</v>
      </c>
      <c r="AL23">
        <v>1.954</v>
      </c>
      <c r="AM23">
        <v>1.353</v>
      </c>
      <c r="AN23">
        <v>1.518</v>
      </c>
      <c r="AO23">
        <v>1.502</v>
      </c>
      <c r="AP23">
        <v>2.0059999999999998</v>
      </c>
      <c r="AQ23">
        <v>2.5590000000000002</v>
      </c>
      <c r="AR23">
        <v>2.302</v>
      </c>
      <c r="AS23">
        <v>2.0449999999999999</v>
      </c>
      <c r="AT23">
        <v>1.861</v>
      </c>
      <c r="AU23">
        <v>2.548</v>
      </c>
      <c r="AV23">
        <v>1.395</v>
      </c>
      <c r="AW23">
        <v>1.387</v>
      </c>
      <c r="AX23">
        <v>1.054</v>
      </c>
      <c r="AY23">
        <v>1.5309999999999999</v>
      </c>
      <c r="AZ23">
        <v>1.528</v>
      </c>
    </row>
    <row r="24" spans="3:52">
      <c r="C24" t="s">
        <v>58</v>
      </c>
      <c r="D24" t="s">
        <v>2715</v>
      </c>
      <c r="F24" t="s">
        <v>2793</v>
      </c>
      <c r="G24" t="s">
        <v>2794</v>
      </c>
      <c r="H24" t="s">
        <v>172</v>
      </c>
      <c r="I24" t="s">
        <v>2795</v>
      </c>
      <c r="J24" t="s">
        <v>2795</v>
      </c>
      <c r="K24" t="s">
        <v>2795</v>
      </c>
      <c r="L24">
        <v>0.312</v>
      </c>
      <c r="M24" s="12">
        <v>41599</v>
      </c>
      <c r="N24">
        <v>11</v>
      </c>
      <c r="O24" t="s">
        <v>71</v>
      </c>
      <c r="P24">
        <v>2013</v>
      </c>
      <c r="Q24">
        <v>0.1163</v>
      </c>
      <c r="R24" s="10"/>
      <c r="S24" s="11">
        <v>0.1163</v>
      </c>
      <c r="T24" s="8"/>
      <c r="U24">
        <v>4.5999999999999999E-2</v>
      </c>
      <c r="V24">
        <v>6.9000000000000006E-2</v>
      </c>
      <c r="W24">
        <v>0.14800000000000002</v>
      </c>
      <c r="X24">
        <v>6.4000000000000001E-2</v>
      </c>
      <c r="Y24">
        <v>4.3999999999999984E-2</v>
      </c>
      <c r="Z24">
        <v>3.5000000000000031E-2</v>
      </c>
      <c r="AA24">
        <v>2.4999999999999967E-2</v>
      </c>
      <c r="AB24">
        <v>2.200000000000002E-2</v>
      </c>
      <c r="AC24">
        <v>3.7999999999999978E-2</v>
      </c>
      <c r="AD24">
        <v>6.4000000000000057E-2</v>
      </c>
      <c r="AE24">
        <v>5.699999999999994E-2</v>
      </c>
      <c r="AF24">
        <v>5.5000000000000049E-2</v>
      </c>
      <c r="AG24">
        <v>5.8000000000000003E-2</v>
      </c>
      <c r="AH24">
        <v>5.7000000000000002E-2</v>
      </c>
      <c r="AI24">
        <v>9.8000000000000004E-2</v>
      </c>
      <c r="AJ24">
        <v>0.10199999999999999</v>
      </c>
      <c r="AK24">
        <v>3.9E-2</v>
      </c>
      <c r="AL24">
        <v>3.5999999999999997E-2</v>
      </c>
      <c r="AM24">
        <v>6.0999999999999999E-2</v>
      </c>
      <c r="AN24">
        <v>3.3000000000000002E-2</v>
      </c>
      <c r="AO24">
        <v>2.4E-2</v>
      </c>
      <c r="AP24">
        <v>5.5E-2</v>
      </c>
      <c r="AQ24">
        <v>0.04</v>
      </c>
      <c r="AR24">
        <v>4.7E-2</v>
      </c>
      <c r="AS24">
        <v>5.7000000000000002E-2</v>
      </c>
      <c r="AT24">
        <v>7.8E-2</v>
      </c>
      <c r="AU24">
        <v>8.8999999999999996E-2</v>
      </c>
      <c r="AV24">
        <v>5.8000000000000003E-2</v>
      </c>
      <c r="AW24">
        <v>0.13500000000000001</v>
      </c>
      <c r="AX24">
        <v>0.13600000000000001</v>
      </c>
      <c r="AY24">
        <v>6.8000000000000005E-2</v>
      </c>
      <c r="AZ24">
        <v>5.1999999999999998E-2</v>
      </c>
    </row>
    <row r="25" spans="3:52">
      <c r="C25" t="s">
        <v>58</v>
      </c>
      <c r="D25" t="s">
        <v>2715</v>
      </c>
      <c r="F25" t="s">
        <v>2793</v>
      </c>
      <c r="G25" t="s">
        <v>2796</v>
      </c>
      <c r="H25" t="s">
        <v>172</v>
      </c>
      <c r="I25" t="s">
        <v>2797</v>
      </c>
      <c r="J25" t="s">
        <v>2798</v>
      </c>
      <c r="K25" t="s">
        <v>2799</v>
      </c>
      <c r="L25">
        <v>0.19600000000000001</v>
      </c>
      <c r="M25" s="12">
        <v>42026</v>
      </c>
      <c r="N25">
        <v>1</v>
      </c>
      <c r="O25" t="s">
        <v>67</v>
      </c>
      <c r="P25">
        <v>2015</v>
      </c>
      <c r="Q25">
        <v>0.19389999999999999</v>
      </c>
      <c r="R25" s="10"/>
      <c r="S25" s="11">
        <v>0.19389999999999999</v>
      </c>
      <c r="T25" s="8"/>
      <c r="U25">
        <v>8.5000000000000006E-2</v>
      </c>
      <c r="V25">
        <v>7.8E-2</v>
      </c>
      <c r="W25">
        <v>0.11300000000000002</v>
      </c>
      <c r="X25">
        <v>9.4999999999999973E-2</v>
      </c>
      <c r="Y25">
        <v>8.4000000000000019E-2</v>
      </c>
      <c r="Z25">
        <v>5.4999999999999993E-2</v>
      </c>
      <c r="AA25">
        <v>4.8000000000000043E-2</v>
      </c>
      <c r="AB25">
        <v>4.0999999999999925E-2</v>
      </c>
      <c r="AC25">
        <v>6.800000000000006E-2</v>
      </c>
      <c r="AD25">
        <v>8.9999999999999969E-2</v>
      </c>
      <c r="AE25">
        <v>9.099999999999997E-2</v>
      </c>
      <c r="AF25">
        <v>0.10499999999999998</v>
      </c>
      <c r="AG25">
        <v>0.114</v>
      </c>
      <c r="AH25">
        <v>0.106</v>
      </c>
      <c r="AI25">
        <v>0.126</v>
      </c>
      <c r="AJ25">
        <v>0.11600000000000001</v>
      </c>
      <c r="AK25">
        <v>7.3999999999999996E-2</v>
      </c>
      <c r="AL25">
        <v>5.1999999999999998E-2</v>
      </c>
      <c r="AM25">
        <v>6.8000000000000005E-2</v>
      </c>
      <c r="AN25">
        <v>0.06</v>
      </c>
      <c r="AO25">
        <v>6.8000000000000005E-2</v>
      </c>
      <c r="AP25">
        <v>8.3000000000000004E-2</v>
      </c>
      <c r="AQ25">
        <v>7.8E-2</v>
      </c>
      <c r="AR25">
        <v>9.7000000000000003E-2</v>
      </c>
      <c r="AS25">
        <v>0.107</v>
      </c>
      <c r="AT25">
        <v>0.125</v>
      </c>
      <c r="AU25">
        <v>0.11799999999999999</v>
      </c>
      <c r="AV25">
        <v>9.0999999999999998E-2</v>
      </c>
      <c r="AW25">
        <v>0.158</v>
      </c>
      <c r="AX25">
        <v>0.129</v>
      </c>
      <c r="AY25">
        <v>0.08</v>
      </c>
      <c r="AZ25">
        <v>6.5000000000000002E-2</v>
      </c>
    </row>
    <row r="26" spans="3:52">
      <c r="C26" t="s">
        <v>58</v>
      </c>
      <c r="D26" t="s">
        <v>2715</v>
      </c>
      <c r="F26" t="s">
        <v>2793</v>
      </c>
      <c r="G26" t="s">
        <v>2800</v>
      </c>
      <c r="H26" t="s">
        <v>172</v>
      </c>
      <c r="I26" t="s">
        <v>2801</v>
      </c>
      <c r="J26" t="s">
        <v>2802</v>
      </c>
      <c r="K26" t="s">
        <v>2802</v>
      </c>
      <c r="L26">
        <v>0.125</v>
      </c>
      <c r="M26" s="12">
        <v>41943</v>
      </c>
      <c r="N26">
        <v>10</v>
      </c>
      <c r="O26" t="s">
        <v>71</v>
      </c>
      <c r="P26">
        <v>2014</v>
      </c>
      <c r="Q26">
        <v>0.19389999999999999</v>
      </c>
      <c r="R26" s="10"/>
      <c r="S26" s="11">
        <v>0.19389999999999999</v>
      </c>
      <c r="T26" s="8"/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3:52">
      <c r="C27" t="s">
        <v>58</v>
      </c>
      <c r="D27" t="s">
        <v>2715</v>
      </c>
      <c r="F27" t="s">
        <v>2793</v>
      </c>
      <c r="G27" t="s">
        <v>2803</v>
      </c>
      <c r="H27" t="s">
        <v>172</v>
      </c>
      <c r="I27" t="s">
        <v>2801</v>
      </c>
      <c r="J27" t="s">
        <v>2804</v>
      </c>
      <c r="K27" t="s">
        <v>2805</v>
      </c>
      <c r="L27">
        <v>0.35</v>
      </c>
      <c r="M27" s="12">
        <v>41730</v>
      </c>
      <c r="N27">
        <v>4</v>
      </c>
      <c r="O27" t="s">
        <v>57</v>
      </c>
      <c r="P27">
        <v>2014</v>
      </c>
      <c r="Q27">
        <v>0.15509999999999999</v>
      </c>
      <c r="R27" s="10"/>
      <c r="S27" s="11">
        <v>0.15509999999999999</v>
      </c>
      <c r="T27" s="8"/>
      <c r="U27">
        <v>3.5000000000000003E-2</v>
      </c>
      <c r="V27">
        <v>0.06</v>
      </c>
      <c r="W27">
        <v>0.128</v>
      </c>
      <c r="X27">
        <v>4.6000000000000013E-2</v>
      </c>
      <c r="Y27">
        <v>4.4999999999999984E-2</v>
      </c>
      <c r="Z27">
        <v>2.9999999999999971E-2</v>
      </c>
      <c r="AA27">
        <v>2.7000000000000024E-2</v>
      </c>
      <c r="AB27">
        <v>2.1000000000000019E-2</v>
      </c>
      <c r="AC27">
        <v>3.5999999999999976E-2</v>
      </c>
      <c r="AD27">
        <v>5.2999999999999992E-2</v>
      </c>
      <c r="AE27">
        <v>5.2000000000000046E-2</v>
      </c>
      <c r="AF27">
        <v>4.9999999999999933E-2</v>
      </c>
      <c r="AG27">
        <v>4.2999999999999997E-2</v>
      </c>
      <c r="AH27">
        <v>3.9E-2</v>
      </c>
      <c r="AI27">
        <v>8.7999999999999995E-2</v>
      </c>
      <c r="AJ27">
        <v>8.4000000000000005E-2</v>
      </c>
      <c r="AK27">
        <v>3.9E-2</v>
      </c>
      <c r="AL27">
        <v>3.5999999999999997E-2</v>
      </c>
      <c r="AM27">
        <v>5.5E-2</v>
      </c>
      <c r="AN27">
        <v>3.7999999999999999E-2</v>
      </c>
      <c r="AO27">
        <v>2.8000000000000001E-2</v>
      </c>
      <c r="AP27">
        <v>5.0999999999999997E-2</v>
      </c>
      <c r="AQ27">
        <v>4.2000000000000003E-2</v>
      </c>
      <c r="AR27">
        <v>4.7E-2</v>
      </c>
      <c r="AS27">
        <v>5.7000000000000002E-2</v>
      </c>
      <c r="AT27">
        <v>6.6000000000000003E-2</v>
      </c>
      <c r="AU27">
        <v>6.5000000000000002E-2</v>
      </c>
      <c r="AV27">
        <v>5.2999999999999999E-2</v>
      </c>
      <c r="AW27">
        <v>0.16300000000000001</v>
      </c>
      <c r="AX27">
        <v>0.16300000000000001</v>
      </c>
      <c r="AY27">
        <v>8.1000000000000003E-2</v>
      </c>
      <c r="AZ27">
        <v>6.3E-2</v>
      </c>
    </row>
    <row r="28" spans="3:52">
      <c r="C28" t="s">
        <v>58</v>
      </c>
      <c r="D28" t="s">
        <v>2715</v>
      </c>
      <c r="F28" t="s">
        <v>2806</v>
      </c>
      <c r="G28" t="s">
        <v>2807</v>
      </c>
      <c r="H28" t="s">
        <v>198</v>
      </c>
      <c r="I28" t="s">
        <v>2808</v>
      </c>
      <c r="J28" t="s">
        <v>2809</v>
      </c>
      <c r="K28" t="s">
        <v>2809</v>
      </c>
      <c r="L28">
        <v>0.185</v>
      </c>
      <c r="M28" s="12">
        <v>40664</v>
      </c>
      <c r="N28">
        <v>5</v>
      </c>
      <c r="O28" t="s">
        <v>57</v>
      </c>
      <c r="P28">
        <v>2011</v>
      </c>
      <c r="Q28">
        <v>0.1163</v>
      </c>
      <c r="R28" s="10"/>
      <c r="S28" s="11">
        <v>0.1163</v>
      </c>
      <c r="T28" s="8"/>
      <c r="U28">
        <v>0.05</v>
      </c>
      <c r="V28">
        <v>5.1000000000000004E-2</v>
      </c>
      <c r="W28">
        <v>7.8999999999999987E-2</v>
      </c>
      <c r="X28">
        <v>3.8000000000000006E-2</v>
      </c>
      <c r="Y28">
        <v>3.2000000000000001E-2</v>
      </c>
      <c r="Z28">
        <v>3.1000000000000028E-2</v>
      </c>
      <c r="AA28">
        <v>1.9999999999999962E-2</v>
      </c>
      <c r="AB28">
        <v>1.8000000000000016E-2</v>
      </c>
      <c r="AC28">
        <v>3.6999999999999977E-2</v>
      </c>
      <c r="AD28">
        <v>6.3E-2</v>
      </c>
      <c r="AE28">
        <v>6.6000000000000003E-2</v>
      </c>
      <c r="AF28">
        <v>5.4000000000000048E-2</v>
      </c>
      <c r="AG28">
        <v>4.9000000000000002E-2</v>
      </c>
      <c r="AH28">
        <v>0.04</v>
      </c>
      <c r="AI28">
        <v>7.1999999999999995E-2</v>
      </c>
      <c r="AJ28">
        <v>3.7999999999999999E-2</v>
      </c>
      <c r="AK28">
        <v>2.1999999999999999E-2</v>
      </c>
      <c r="AL28">
        <v>0.02</v>
      </c>
      <c r="AM28">
        <v>5.0999999999999997E-2</v>
      </c>
      <c r="AN28">
        <v>4.2000000000000003E-2</v>
      </c>
      <c r="AO28">
        <v>4.1000000000000002E-2</v>
      </c>
      <c r="AP28">
        <v>6.6000000000000003E-2</v>
      </c>
      <c r="AQ28">
        <v>6.0999999999999999E-2</v>
      </c>
      <c r="AR28">
        <v>5.2999999999999999E-2</v>
      </c>
      <c r="AS28">
        <v>5.0999999999999997E-2</v>
      </c>
      <c r="AT28">
        <v>5.8000000000000003E-2</v>
      </c>
      <c r="AU28">
        <v>4.3999999999999997E-2</v>
      </c>
      <c r="AV28">
        <v>2.9000000000000001E-2</v>
      </c>
      <c r="AW28">
        <v>5.8999999999999997E-2</v>
      </c>
      <c r="AX28">
        <v>6.4000000000000001E-2</v>
      </c>
      <c r="AY28">
        <v>3.5000000000000003E-2</v>
      </c>
      <c r="AZ28">
        <v>2.5000000000000001E-2</v>
      </c>
    </row>
    <row r="29" spans="3:52">
      <c r="C29" t="s">
        <v>58</v>
      </c>
      <c r="D29" t="s">
        <v>2715</v>
      </c>
      <c r="F29" t="s">
        <v>2806</v>
      </c>
      <c r="G29" t="s">
        <v>2810</v>
      </c>
      <c r="H29" t="s">
        <v>198</v>
      </c>
      <c r="I29" t="s">
        <v>1978</v>
      </c>
      <c r="J29" t="s">
        <v>2811</v>
      </c>
      <c r="K29" t="s">
        <v>2812</v>
      </c>
      <c r="L29">
        <v>0.185</v>
      </c>
      <c r="M29" s="12">
        <v>42698</v>
      </c>
      <c r="N29">
        <v>11</v>
      </c>
      <c r="O29" t="s">
        <v>71</v>
      </c>
      <c r="P29">
        <v>2016</v>
      </c>
      <c r="Q29">
        <v>0.17449999999999999</v>
      </c>
      <c r="R29" s="10">
        <v>0.05</v>
      </c>
      <c r="S29" s="11">
        <v>0.183225</v>
      </c>
      <c r="T29" s="8">
        <v>42759</v>
      </c>
      <c r="U29">
        <v>4.8000000000000001E-2</v>
      </c>
      <c r="V29">
        <v>4.5999999999999999E-2</v>
      </c>
      <c r="W29">
        <v>0.1</v>
      </c>
      <c r="X29">
        <v>0.06</v>
      </c>
      <c r="Y29">
        <v>4.8999999999999988E-2</v>
      </c>
      <c r="Z29">
        <v>3.1000000000000028E-2</v>
      </c>
      <c r="AA29">
        <v>1.699999999999996E-2</v>
      </c>
      <c r="AB29">
        <v>1.5000000000000013E-2</v>
      </c>
      <c r="AC29">
        <v>2.200000000000002E-2</v>
      </c>
      <c r="AD29">
        <v>5.7999999999999996E-2</v>
      </c>
      <c r="AE29">
        <v>7.2000000000000008E-2</v>
      </c>
      <c r="AF29">
        <v>3.5000000000000031E-2</v>
      </c>
      <c r="AG29">
        <v>3.2000000000000001E-2</v>
      </c>
      <c r="AH29">
        <v>4.1000000000000002E-2</v>
      </c>
      <c r="AI29">
        <v>6.8000000000000005E-2</v>
      </c>
      <c r="AJ29">
        <v>5.3999999999999999E-2</v>
      </c>
      <c r="AK29">
        <v>3.4000000000000002E-2</v>
      </c>
      <c r="AL29">
        <v>1.2999999999999999E-2</v>
      </c>
      <c r="AM29">
        <v>3.6999999999999998E-2</v>
      </c>
      <c r="AN29">
        <v>2.1000000000000001E-2</v>
      </c>
      <c r="AO29">
        <v>1.4999999999999999E-2</v>
      </c>
      <c r="AP29">
        <v>5.1999999999999998E-2</v>
      </c>
      <c r="AQ29">
        <v>7.4999999999999997E-2</v>
      </c>
      <c r="AR29">
        <v>4.5999999999999999E-2</v>
      </c>
      <c r="AS29">
        <v>3.9E-2</v>
      </c>
      <c r="AT29">
        <v>5.1999999999999998E-2</v>
      </c>
      <c r="AU29">
        <v>4.5999999999999999E-2</v>
      </c>
      <c r="AV29">
        <v>0.04</v>
      </c>
      <c r="AW29">
        <v>6.6000000000000003E-2</v>
      </c>
      <c r="AX29">
        <v>0.10100000000000001</v>
      </c>
      <c r="AY29">
        <v>5.6000000000000001E-2</v>
      </c>
      <c r="AZ29">
        <v>2.1000000000000001E-2</v>
      </c>
    </row>
    <row r="30" spans="3:52">
      <c r="C30" t="s">
        <v>58</v>
      </c>
      <c r="D30" t="s">
        <v>2715</v>
      </c>
      <c r="F30" t="s">
        <v>2813</v>
      </c>
      <c r="G30" t="s">
        <v>2814</v>
      </c>
      <c r="H30" t="s">
        <v>1658</v>
      </c>
      <c r="I30" t="s">
        <v>2815</v>
      </c>
      <c r="J30" t="s">
        <v>2816</v>
      </c>
      <c r="K30" t="s">
        <v>2816</v>
      </c>
      <c r="L30">
        <v>0.25</v>
      </c>
      <c r="M30" s="12">
        <v>41319</v>
      </c>
      <c r="N30">
        <v>2</v>
      </c>
      <c r="O30" t="s">
        <v>67</v>
      </c>
      <c r="P30">
        <v>2013</v>
      </c>
      <c r="Q30">
        <v>0.1163</v>
      </c>
      <c r="R30" s="10"/>
      <c r="S30" s="11">
        <v>0.1163</v>
      </c>
      <c r="T30" s="8"/>
      <c r="U30">
        <v>2.1440000000000001</v>
      </c>
      <c r="V30">
        <v>3.1959999999999997</v>
      </c>
      <c r="W30">
        <v>5.2919999999999998</v>
      </c>
      <c r="X30">
        <v>3.0090000000000003</v>
      </c>
      <c r="Y30">
        <v>1.3200000000000003</v>
      </c>
      <c r="Z30">
        <v>0.55799999999999983</v>
      </c>
      <c r="AA30">
        <v>0.5080000000000009</v>
      </c>
      <c r="AB30">
        <v>0.24399999999999977</v>
      </c>
      <c r="AC30">
        <v>0.72299999999999898</v>
      </c>
      <c r="AD30">
        <v>1.6640000000000015</v>
      </c>
      <c r="AE30">
        <v>2.3019999999999996</v>
      </c>
      <c r="AF30">
        <v>2.7910000000000004</v>
      </c>
      <c r="AG30">
        <v>2.8650000000000002</v>
      </c>
      <c r="AH30">
        <v>2.75</v>
      </c>
      <c r="AI30">
        <v>5.3440000000000003</v>
      </c>
      <c r="AJ30">
        <v>4.3319999999999999</v>
      </c>
      <c r="AK30">
        <v>1.2470000000000001</v>
      </c>
      <c r="AL30">
        <v>0.96799999999999997</v>
      </c>
      <c r="AM30">
        <v>1.31</v>
      </c>
      <c r="AN30">
        <v>0.98699999999999999</v>
      </c>
      <c r="AO30">
        <v>1.26</v>
      </c>
      <c r="AP30">
        <v>2.6669999999999998</v>
      </c>
      <c r="AQ30">
        <v>3.105</v>
      </c>
      <c r="AR30">
        <v>2.556</v>
      </c>
      <c r="AS30">
        <v>2.7370000000000001</v>
      </c>
      <c r="AT30">
        <v>3.8719999999999999</v>
      </c>
      <c r="AU30">
        <v>3.246</v>
      </c>
      <c r="AV30">
        <v>2.1269999999999998</v>
      </c>
      <c r="AW30">
        <v>3.5710000000000002</v>
      </c>
      <c r="AX30">
        <v>3.7490000000000001</v>
      </c>
      <c r="AY30">
        <v>1.0760000000000001</v>
      </c>
      <c r="AZ30">
        <v>0.65400000000000003</v>
      </c>
    </row>
    <row r="31" spans="3:52">
      <c r="C31" t="s">
        <v>58</v>
      </c>
      <c r="D31" t="s">
        <v>2715</v>
      </c>
      <c r="F31" t="s">
        <v>2813</v>
      </c>
      <c r="G31" t="s">
        <v>2817</v>
      </c>
      <c r="H31" t="s">
        <v>136</v>
      </c>
      <c r="I31" t="s">
        <v>2818</v>
      </c>
      <c r="K31" t="s">
        <v>2819</v>
      </c>
      <c r="L31">
        <v>7.8179999999999996</v>
      </c>
      <c r="M31" s="12">
        <v>40969</v>
      </c>
      <c r="N31">
        <v>3</v>
      </c>
      <c r="O31" t="s">
        <v>67</v>
      </c>
      <c r="P31">
        <v>2012</v>
      </c>
      <c r="Q31">
        <v>0.1163</v>
      </c>
      <c r="R31" s="10"/>
      <c r="S31" s="11">
        <v>0.1163</v>
      </c>
      <c r="T31" s="8"/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3:52">
      <c r="C32" t="s">
        <v>58</v>
      </c>
      <c r="D32" t="s">
        <v>2715</v>
      </c>
      <c r="F32" t="s">
        <v>2813</v>
      </c>
      <c r="G32" t="s">
        <v>2820</v>
      </c>
      <c r="H32" t="s">
        <v>136</v>
      </c>
      <c r="I32" t="s">
        <v>575</v>
      </c>
      <c r="K32" t="s">
        <v>2821</v>
      </c>
      <c r="L32">
        <v>3.6</v>
      </c>
      <c r="M32" s="12">
        <v>40969</v>
      </c>
      <c r="N32">
        <v>3</v>
      </c>
      <c r="O32" t="s">
        <v>67</v>
      </c>
      <c r="P32">
        <v>2012</v>
      </c>
      <c r="Q32">
        <v>0.1163</v>
      </c>
      <c r="R32" s="10"/>
      <c r="S32" s="11">
        <v>0.1163</v>
      </c>
      <c r="T32" s="8"/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3:52">
      <c r="C33" t="s">
        <v>58</v>
      </c>
      <c r="D33" t="s">
        <v>2715</v>
      </c>
      <c r="F33" t="s">
        <v>2813</v>
      </c>
      <c r="G33" t="s">
        <v>2822</v>
      </c>
      <c r="H33" t="s">
        <v>198</v>
      </c>
      <c r="I33" t="s">
        <v>2823</v>
      </c>
      <c r="J33" t="s">
        <v>2824</v>
      </c>
      <c r="K33" t="s">
        <v>2825</v>
      </c>
      <c r="L33">
        <v>1.9</v>
      </c>
      <c r="M33" s="12">
        <v>40969</v>
      </c>
      <c r="N33">
        <v>3</v>
      </c>
      <c r="O33" t="s">
        <v>67</v>
      </c>
      <c r="P33">
        <v>2012</v>
      </c>
      <c r="Q33">
        <v>0.1163</v>
      </c>
      <c r="R33" s="10"/>
      <c r="S33" s="11">
        <v>0.1163</v>
      </c>
      <c r="T33" s="8"/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3:52">
      <c r="C34" t="s">
        <v>58</v>
      </c>
      <c r="D34" t="s">
        <v>2715</v>
      </c>
      <c r="F34" t="s">
        <v>2813</v>
      </c>
      <c r="G34" t="s">
        <v>2826</v>
      </c>
      <c r="H34" t="s">
        <v>136</v>
      </c>
      <c r="I34" t="s">
        <v>2827</v>
      </c>
      <c r="K34" t="s">
        <v>2821</v>
      </c>
      <c r="L34">
        <v>2.04</v>
      </c>
      <c r="M34" s="12">
        <v>40969</v>
      </c>
      <c r="N34">
        <v>3</v>
      </c>
      <c r="O34" t="s">
        <v>67</v>
      </c>
      <c r="P34">
        <v>2012</v>
      </c>
      <c r="Q34">
        <v>0.1163</v>
      </c>
      <c r="R34" s="10"/>
      <c r="S34" s="11">
        <v>0.1163</v>
      </c>
      <c r="T34" s="8"/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3:52">
      <c r="C35" t="s">
        <v>58</v>
      </c>
      <c r="D35" t="s">
        <v>2715</v>
      </c>
      <c r="F35" t="s">
        <v>2813</v>
      </c>
      <c r="G35" t="s">
        <v>2828</v>
      </c>
      <c r="H35" t="s">
        <v>172</v>
      </c>
      <c r="I35" t="s">
        <v>2829</v>
      </c>
      <c r="J35" t="s">
        <v>2830</v>
      </c>
      <c r="K35" t="s">
        <v>2831</v>
      </c>
      <c r="L35">
        <v>0.5</v>
      </c>
      <c r="M35" s="12">
        <v>41606</v>
      </c>
      <c r="N35">
        <v>11</v>
      </c>
      <c r="O35" t="s">
        <v>71</v>
      </c>
      <c r="P35">
        <v>2013</v>
      </c>
      <c r="Q35">
        <v>0.1163</v>
      </c>
      <c r="R35" s="10"/>
      <c r="S35" s="11">
        <v>0.1163</v>
      </c>
      <c r="T35" s="8"/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3:52">
      <c r="C36" t="s">
        <v>58</v>
      </c>
      <c r="D36" t="s">
        <v>2715</v>
      </c>
      <c r="F36" t="s">
        <v>2813</v>
      </c>
      <c r="G36" t="s">
        <v>2832</v>
      </c>
      <c r="H36" t="s">
        <v>136</v>
      </c>
      <c r="I36" t="s">
        <v>2833</v>
      </c>
      <c r="K36" t="s">
        <v>2821</v>
      </c>
      <c r="L36">
        <v>1.36</v>
      </c>
      <c r="M36" s="12">
        <v>40940</v>
      </c>
      <c r="N36">
        <v>2</v>
      </c>
      <c r="O36" t="s">
        <v>67</v>
      </c>
      <c r="P36">
        <v>2012</v>
      </c>
      <c r="Q36">
        <v>0.1163</v>
      </c>
      <c r="R36" s="10"/>
      <c r="S36" s="11">
        <v>0.1163</v>
      </c>
      <c r="T36" s="8"/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3:52">
      <c r="C37" t="s">
        <v>58</v>
      </c>
      <c r="D37" t="s">
        <v>2715</v>
      </c>
      <c r="F37" t="s">
        <v>2813</v>
      </c>
      <c r="G37" t="s">
        <v>2834</v>
      </c>
      <c r="H37" t="s">
        <v>136</v>
      </c>
      <c r="I37" t="s">
        <v>2718</v>
      </c>
      <c r="J37" t="s">
        <v>2835</v>
      </c>
      <c r="K37" t="s">
        <v>2836</v>
      </c>
      <c r="L37">
        <v>0.19600000000000001</v>
      </c>
      <c r="M37" s="12">
        <v>42075</v>
      </c>
      <c r="N37">
        <v>3</v>
      </c>
      <c r="O37" t="s">
        <v>67</v>
      </c>
      <c r="P37">
        <v>2015</v>
      </c>
      <c r="Q37">
        <v>0.19389999999999999</v>
      </c>
      <c r="R37" s="10"/>
      <c r="S37" s="11">
        <v>0.19389999999999999</v>
      </c>
      <c r="T37" s="8"/>
      <c r="U37">
        <v>0</v>
      </c>
      <c r="V37">
        <v>0</v>
      </c>
      <c r="W37">
        <v>0.34399999999999997</v>
      </c>
      <c r="X37">
        <v>7.9000000000000015E-2</v>
      </c>
      <c r="Y37">
        <v>3.0000000000000027E-2</v>
      </c>
      <c r="Z37">
        <v>2.4999999999999967E-2</v>
      </c>
      <c r="AA37">
        <v>1.0000000000000009E-2</v>
      </c>
      <c r="AB37">
        <v>1.3000000000000012E-2</v>
      </c>
      <c r="AC37">
        <v>1.3000000000000012E-2</v>
      </c>
      <c r="AD37">
        <v>4.1000000000000036E-2</v>
      </c>
      <c r="AE37">
        <v>6.9999999999999951E-2</v>
      </c>
      <c r="AF37">
        <v>8.7999999999999967E-2</v>
      </c>
      <c r="AG37">
        <v>9.8000000000000004E-2</v>
      </c>
      <c r="AH37">
        <v>9.2999999999999999E-2</v>
      </c>
      <c r="AI37">
        <v>0.159</v>
      </c>
      <c r="AJ37">
        <v>0.127</v>
      </c>
      <c r="AK37">
        <v>3.4000000000000002E-2</v>
      </c>
      <c r="AL37">
        <v>1.7000000000000001E-2</v>
      </c>
      <c r="AM37">
        <v>2.3E-2</v>
      </c>
      <c r="AN37">
        <v>1.4E-2</v>
      </c>
      <c r="AO37">
        <v>2.1000000000000001E-2</v>
      </c>
      <c r="AP37">
        <v>7.6999999999999999E-2</v>
      </c>
      <c r="AQ37">
        <v>7.4999999999999997E-2</v>
      </c>
      <c r="AR37">
        <v>5.8999999999999997E-2</v>
      </c>
      <c r="AS37">
        <v>5.6000000000000001E-2</v>
      </c>
      <c r="AT37">
        <v>0.128</v>
      </c>
      <c r="AU37">
        <v>0.1</v>
      </c>
      <c r="AV37">
        <v>6.4000000000000001E-2</v>
      </c>
      <c r="AW37">
        <v>3.6999999999999998E-2</v>
      </c>
      <c r="AX37">
        <v>0.111</v>
      </c>
      <c r="AY37">
        <v>8.9999999999999993E-3</v>
      </c>
      <c r="AZ37">
        <v>1.2E-2</v>
      </c>
    </row>
    <row r="38" spans="3:52">
      <c r="C38" t="s">
        <v>58</v>
      </c>
      <c r="D38" t="s">
        <v>2715</v>
      </c>
      <c r="F38" t="s">
        <v>2813</v>
      </c>
      <c r="G38" t="s">
        <v>2837</v>
      </c>
      <c r="H38" t="s">
        <v>136</v>
      </c>
      <c r="I38" t="s">
        <v>2718</v>
      </c>
      <c r="J38" t="s">
        <v>2838</v>
      </c>
      <c r="K38" t="s">
        <v>2839</v>
      </c>
      <c r="L38">
        <v>0.19600000000000001</v>
      </c>
      <c r="M38" s="12">
        <v>42222</v>
      </c>
      <c r="N38">
        <v>8</v>
      </c>
      <c r="O38" t="s">
        <v>60</v>
      </c>
      <c r="P38">
        <v>2015</v>
      </c>
      <c r="Q38">
        <v>0.19389999999999999</v>
      </c>
      <c r="R38" s="10"/>
      <c r="S38" s="11">
        <v>0.19389999999999999</v>
      </c>
      <c r="T38" s="8"/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3:52">
      <c r="C39" t="s">
        <v>58</v>
      </c>
      <c r="D39" t="s">
        <v>2715</v>
      </c>
      <c r="F39" t="s">
        <v>2813</v>
      </c>
      <c r="G39" t="s">
        <v>2840</v>
      </c>
      <c r="H39" t="s">
        <v>263</v>
      </c>
      <c r="I39" t="s">
        <v>2841</v>
      </c>
      <c r="J39" t="s">
        <v>2842</v>
      </c>
      <c r="K39" t="s">
        <v>2843</v>
      </c>
      <c r="L39">
        <v>0.46</v>
      </c>
      <c r="M39" s="12">
        <v>42531</v>
      </c>
      <c r="N39">
        <v>6</v>
      </c>
      <c r="O39" t="s">
        <v>57</v>
      </c>
      <c r="P39">
        <v>2016</v>
      </c>
      <c r="Q39">
        <v>0.13950000000000001</v>
      </c>
      <c r="R39" s="10"/>
      <c r="S39" s="11">
        <v>0.13950000000000001</v>
      </c>
      <c r="T39" s="8"/>
      <c r="U39">
        <v>0</v>
      </c>
      <c r="V39">
        <v>0</v>
      </c>
      <c r="W39">
        <v>0.96399999999999997</v>
      </c>
      <c r="X39">
        <v>0.44999999999999996</v>
      </c>
      <c r="Y39">
        <v>0.29300000000000015</v>
      </c>
      <c r="Z39">
        <v>0.16999999999999993</v>
      </c>
      <c r="AA39">
        <v>0.11899999999999999</v>
      </c>
      <c r="AB39">
        <v>9.9000000000000199E-2</v>
      </c>
      <c r="AC39">
        <v>0.121</v>
      </c>
      <c r="AD39">
        <v>0.22599999999999998</v>
      </c>
      <c r="AE39">
        <v>0.24099999999999966</v>
      </c>
      <c r="AF39">
        <v>0.32100000000000017</v>
      </c>
      <c r="AG39">
        <v>0.379</v>
      </c>
      <c r="AH39">
        <v>0.38200000000000001</v>
      </c>
      <c r="AI39">
        <v>0.504</v>
      </c>
      <c r="AJ39">
        <v>0.374</v>
      </c>
      <c r="AK39">
        <v>0.20300000000000001</v>
      </c>
      <c r="AL39">
        <v>0.223</v>
      </c>
      <c r="AM39">
        <v>0.22500000000000001</v>
      </c>
      <c r="AN39">
        <v>0.23400000000000001</v>
      </c>
      <c r="AO39">
        <v>0.18</v>
      </c>
      <c r="AP39">
        <v>0.28399999999999997</v>
      </c>
      <c r="AQ39">
        <v>0.27700000000000002</v>
      </c>
      <c r="AR39">
        <v>0.32</v>
      </c>
      <c r="AS39">
        <v>0.40500000000000003</v>
      </c>
      <c r="AT39">
        <v>0.42099999999999999</v>
      </c>
      <c r="AU39">
        <v>0.315</v>
      </c>
      <c r="AV39">
        <v>0.27100000000000002</v>
      </c>
      <c r="AW39">
        <v>0.438</v>
      </c>
      <c r="AX39">
        <v>0.371</v>
      </c>
      <c r="AY39">
        <v>0.152</v>
      </c>
      <c r="AZ39">
        <v>9.9000000000000005E-2</v>
      </c>
    </row>
    <row r="40" spans="3:52">
      <c r="C40" t="s">
        <v>58</v>
      </c>
      <c r="D40" t="s">
        <v>2715</v>
      </c>
      <c r="F40" t="s">
        <v>2813</v>
      </c>
      <c r="G40" t="s">
        <v>2844</v>
      </c>
      <c r="H40" t="s">
        <v>176</v>
      </c>
      <c r="I40" t="s">
        <v>2845</v>
      </c>
      <c r="J40" t="s">
        <v>2846</v>
      </c>
      <c r="K40" t="s">
        <v>2846</v>
      </c>
      <c r="L40">
        <v>0.621</v>
      </c>
      <c r="M40" s="12">
        <v>42621</v>
      </c>
      <c r="N40">
        <v>9</v>
      </c>
      <c r="O40" t="s">
        <v>60</v>
      </c>
      <c r="P40">
        <v>2016</v>
      </c>
      <c r="Q40">
        <v>0.13950000000000001</v>
      </c>
      <c r="R40" s="10"/>
      <c r="S40" s="11">
        <v>0.13950000000000001</v>
      </c>
      <c r="T40" s="8"/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3:52">
      <c r="C41" t="s">
        <v>58</v>
      </c>
      <c r="D41" t="s">
        <v>2715</v>
      </c>
      <c r="F41" t="s">
        <v>2813</v>
      </c>
      <c r="G41" t="s">
        <v>2847</v>
      </c>
      <c r="H41" t="s">
        <v>136</v>
      </c>
      <c r="I41" t="s">
        <v>2718</v>
      </c>
      <c r="J41" t="s">
        <v>2848</v>
      </c>
      <c r="K41" t="s">
        <v>2848</v>
      </c>
      <c r="L41">
        <v>0.13200000000000001</v>
      </c>
      <c r="M41" s="12">
        <v>42551</v>
      </c>
      <c r="N41">
        <v>6</v>
      </c>
      <c r="O41" t="s">
        <v>57</v>
      </c>
      <c r="P41">
        <v>2016</v>
      </c>
      <c r="Q41">
        <v>0.17449999999999999</v>
      </c>
      <c r="R41" s="10"/>
      <c r="S41" s="11">
        <v>0.17449999999999999</v>
      </c>
      <c r="T41" s="8"/>
      <c r="U41">
        <v>0</v>
      </c>
      <c r="V41">
        <v>0</v>
      </c>
      <c r="W41">
        <v>0.16300000000000001</v>
      </c>
      <c r="X41">
        <v>3.9000000000000007E-2</v>
      </c>
      <c r="Y41">
        <v>1.4999999999999986E-2</v>
      </c>
      <c r="Z41">
        <v>1.2000000000000011E-2</v>
      </c>
      <c r="AA41">
        <v>5.9999999999999776E-3</v>
      </c>
      <c r="AB41">
        <v>7.0000000000000062E-3</v>
      </c>
      <c r="AC41">
        <v>5.0000000000000044E-3</v>
      </c>
      <c r="AD41">
        <v>1.9000000000000017E-2</v>
      </c>
      <c r="AE41">
        <v>3.4999999999999976E-2</v>
      </c>
      <c r="AF41">
        <v>4.9999999999999989E-2</v>
      </c>
      <c r="AG41">
        <v>5.1999999999999998E-2</v>
      </c>
      <c r="AH41">
        <v>5.1999999999999998E-2</v>
      </c>
      <c r="AI41">
        <v>7.6999999999999999E-2</v>
      </c>
      <c r="AJ41">
        <v>6.8000000000000005E-2</v>
      </c>
      <c r="AK41">
        <v>2.1999999999999999E-2</v>
      </c>
      <c r="AL41">
        <v>1.0999999999999999E-2</v>
      </c>
      <c r="AM41">
        <v>1.4999999999999999E-2</v>
      </c>
      <c r="AN41">
        <v>7.0000000000000001E-3</v>
      </c>
      <c r="AO41">
        <v>1.2999999999999999E-2</v>
      </c>
      <c r="AP41">
        <v>4.2999999999999997E-2</v>
      </c>
      <c r="AQ41">
        <v>5.0999999999999997E-2</v>
      </c>
      <c r="AR41">
        <v>4.3999999999999997E-2</v>
      </c>
      <c r="AS41">
        <v>4.2000000000000003E-2</v>
      </c>
      <c r="AT41">
        <v>6.9000000000000006E-2</v>
      </c>
      <c r="AU41">
        <v>0.03</v>
      </c>
      <c r="AV41">
        <v>3.5999999999999997E-2</v>
      </c>
      <c r="AW41">
        <v>0</v>
      </c>
      <c r="AX41">
        <v>0</v>
      </c>
      <c r="AY41">
        <v>1E-3</v>
      </c>
      <c r="AZ41">
        <v>8.9999999999999993E-3</v>
      </c>
    </row>
    <row r="42" spans="3:52">
      <c r="C42" t="s">
        <v>58</v>
      </c>
      <c r="D42" t="s">
        <v>2715</v>
      </c>
      <c r="F42" t="s">
        <v>2849</v>
      </c>
      <c r="G42" t="s">
        <v>2850</v>
      </c>
      <c r="H42" t="s">
        <v>263</v>
      </c>
      <c r="I42" t="s">
        <v>268</v>
      </c>
      <c r="J42" t="s">
        <v>2851</v>
      </c>
      <c r="K42" t="s">
        <v>2852</v>
      </c>
      <c r="L42">
        <v>0.2</v>
      </c>
      <c r="M42" s="12">
        <v>43410</v>
      </c>
      <c r="N42">
        <v>11</v>
      </c>
      <c r="O42" t="s">
        <v>71</v>
      </c>
      <c r="P42">
        <v>2018</v>
      </c>
      <c r="Q42">
        <v>0.17449999999999999</v>
      </c>
      <c r="R42" s="10">
        <v>0.1</v>
      </c>
      <c r="S42" s="11">
        <v>0.19194999999999998</v>
      </c>
      <c r="T42" s="8">
        <v>43410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7.4999999999999997E-2</v>
      </c>
      <c r="AS42">
        <v>0.10199999999999999</v>
      </c>
      <c r="AT42">
        <v>9.6000000000000002E-2</v>
      </c>
      <c r="AU42">
        <v>1.9E-2</v>
      </c>
      <c r="AV42">
        <v>7.9000000000000001E-2</v>
      </c>
      <c r="AW42">
        <v>5.6000000000000001E-2</v>
      </c>
      <c r="AX42">
        <v>3.9E-2</v>
      </c>
      <c r="AY42">
        <v>2.7E-2</v>
      </c>
      <c r="AZ42">
        <v>0.02</v>
      </c>
    </row>
    <row r="43" spans="3:52">
      <c r="C43" t="s">
        <v>58</v>
      </c>
      <c r="D43" t="s">
        <v>2715</v>
      </c>
      <c r="F43" t="s">
        <v>2853</v>
      </c>
      <c r="G43" t="s">
        <v>2854</v>
      </c>
      <c r="H43" t="s">
        <v>172</v>
      </c>
      <c r="I43" t="s">
        <v>2855</v>
      </c>
      <c r="J43" t="s">
        <v>2856</v>
      </c>
      <c r="K43" t="s">
        <v>2857</v>
      </c>
      <c r="L43">
        <v>0.185</v>
      </c>
      <c r="M43" s="12">
        <v>42292</v>
      </c>
      <c r="N43">
        <v>10</v>
      </c>
      <c r="O43" t="s">
        <v>71</v>
      </c>
      <c r="P43">
        <v>2015</v>
      </c>
      <c r="Q43">
        <v>0.19389999999999999</v>
      </c>
      <c r="R43" s="10"/>
      <c r="S43" s="11">
        <v>0.19389999999999999</v>
      </c>
      <c r="T43" s="8"/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3.0000000000000001E-3</v>
      </c>
      <c r="AU43">
        <v>1E-3</v>
      </c>
      <c r="AV43">
        <v>0</v>
      </c>
      <c r="AW43">
        <v>5.0000000000000001E-3</v>
      </c>
      <c r="AX43">
        <v>2E-3</v>
      </c>
      <c r="AY43">
        <v>1E-3</v>
      </c>
      <c r="AZ43">
        <v>0</v>
      </c>
    </row>
    <row r="44" spans="3:52">
      <c r="C44" t="s">
        <v>58</v>
      </c>
      <c r="D44" t="s">
        <v>2715</v>
      </c>
      <c r="F44" t="s">
        <v>2858</v>
      </c>
      <c r="G44" t="s">
        <v>2744</v>
      </c>
      <c r="H44" t="s">
        <v>172</v>
      </c>
      <c r="I44" t="s">
        <v>812</v>
      </c>
      <c r="J44" t="s">
        <v>2859</v>
      </c>
      <c r="K44" t="s">
        <v>2860</v>
      </c>
      <c r="L44">
        <v>0.13</v>
      </c>
      <c r="M44" s="12">
        <v>43312</v>
      </c>
      <c r="N44">
        <v>7</v>
      </c>
      <c r="O44" t="s">
        <v>60</v>
      </c>
      <c r="P44">
        <v>2018</v>
      </c>
      <c r="Q44">
        <v>0.17449999999999999</v>
      </c>
      <c r="R44" s="10"/>
      <c r="S44" s="11">
        <v>0.17449999999999999</v>
      </c>
      <c r="T44" s="8"/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1.6E-2</v>
      </c>
      <c r="AP44">
        <v>2.9000000000000001E-2</v>
      </c>
      <c r="AQ44">
        <v>1.9E-2</v>
      </c>
      <c r="AR44">
        <v>2.3E-2</v>
      </c>
      <c r="AS44">
        <v>1.7999999999999999E-2</v>
      </c>
      <c r="AT44">
        <v>3.9E-2</v>
      </c>
      <c r="AU44">
        <v>0.03</v>
      </c>
      <c r="AV44">
        <v>2.1999999999999999E-2</v>
      </c>
      <c r="AW44">
        <v>5.8999999999999997E-2</v>
      </c>
      <c r="AX44">
        <v>5.1999999999999998E-2</v>
      </c>
      <c r="AY44">
        <v>1.7999999999999999E-2</v>
      </c>
      <c r="AZ44">
        <v>1.2E-2</v>
      </c>
    </row>
    <row r="45" spans="3:52">
      <c r="C45" t="s">
        <v>58</v>
      </c>
      <c r="D45" t="s">
        <v>2715</v>
      </c>
      <c r="F45" t="s">
        <v>2861</v>
      </c>
      <c r="G45" t="s">
        <v>2862</v>
      </c>
      <c r="H45" t="s">
        <v>65</v>
      </c>
      <c r="I45" t="s">
        <v>2863</v>
      </c>
      <c r="J45" t="s">
        <v>2864</v>
      </c>
      <c r="K45" t="s">
        <v>2864</v>
      </c>
      <c r="L45">
        <v>0.92500000000000004</v>
      </c>
      <c r="M45" s="12">
        <v>42787</v>
      </c>
      <c r="N45">
        <v>2</v>
      </c>
      <c r="O45" t="s">
        <v>67</v>
      </c>
      <c r="P45">
        <v>2017</v>
      </c>
      <c r="Q45">
        <v>0.13950000000000001</v>
      </c>
      <c r="R45" s="10"/>
      <c r="S45" s="11">
        <v>0.13950000000000001</v>
      </c>
      <c r="T45" s="8"/>
      <c r="U45">
        <v>0</v>
      </c>
      <c r="V45">
        <v>5.1999999999999998E-2</v>
      </c>
      <c r="W45">
        <v>0.48900000000000005</v>
      </c>
      <c r="X45">
        <v>0.31199999999999994</v>
      </c>
      <c r="Y45">
        <v>0.56000000000000005</v>
      </c>
      <c r="Z45">
        <v>0.25800000000000001</v>
      </c>
      <c r="AA45">
        <v>0.10799999999999987</v>
      </c>
      <c r="AB45">
        <v>0.11099999999999999</v>
      </c>
      <c r="AC45">
        <v>0.29600000000000004</v>
      </c>
      <c r="AD45">
        <v>0.14599999999999991</v>
      </c>
      <c r="AE45">
        <v>0.22100000000000009</v>
      </c>
      <c r="AF45">
        <v>0.54200000000000026</v>
      </c>
      <c r="AG45">
        <v>0.30499999999999999</v>
      </c>
      <c r="AH45">
        <v>0.217</v>
      </c>
      <c r="AI45">
        <v>0.39800000000000002</v>
      </c>
      <c r="AJ45">
        <v>0.36599999999999999</v>
      </c>
      <c r="AK45">
        <v>4.2000000000000003E-2</v>
      </c>
      <c r="AL45">
        <v>0.314</v>
      </c>
      <c r="AM45">
        <v>0.51200000000000001</v>
      </c>
      <c r="AN45">
        <v>0.252</v>
      </c>
      <c r="AO45">
        <v>0.107</v>
      </c>
      <c r="AP45">
        <v>5.8999999999999997E-2</v>
      </c>
      <c r="AQ45">
        <v>0.05</v>
      </c>
      <c r="AR45">
        <v>0.246</v>
      </c>
      <c r="AS45">
        <v>2.1999999999999999E-2</v>
      </c>
      <c r="AT45">
        <v>0.28399999999999997</v>
      </c>
      <c r="AU45">
        <v>0.29599999999999999</v>
      </c>
      <c r="AV45">
        <v>0.23699999999999999</v>
      </c>
      <c r="AW45">
        <v>0.68400000000000005</v>
      </c>
      <c r="AX45">
        <v>0.40400000000000003</v>
      </c>
      <c r="AY45">
        <v>7.1999999999999995E-2</v>
      </c>
      <c r="AZ45">
        <v>5.0999999999999997E-2</v>
      </c>
    </row>
    <row r="46" spans="3:52">
      <c r="C46" t="s">
        <v>58</v>
      </c>
      <c r="D46" t="s">
        <v>2715</v>
      </c>
      <c r="F46" t="s">
        <v>2865</v>
      </c>
      <c r="G46" t="s">
        <v>2866</v>
      </c>
      <c r="H46" t="s">
        <v>69</v>
      </c>
      <c r="K46" t="s">
        <v>2867</v>
      </c>
      <c r="L46">
        <v>0.48399999999999999</v>
      </c>
      <c r="M46" s="12">
        <v>43431</v>
      </c>
      <c r="N46">
        <v>11</v>
      </c>
      <c r="O46" t="s">
        <v>71</v>
      </c>
      <c r="P46">
        <v>2018</v>
      </c>
      <c r="Q46">
        <v>0.13950000000000001</v>
      </c>
      <c r="R46" s="10"/>
      <c r="S46" s="11">
        <v>0.13950000000000001</v>
      </c>
      <c r="T46" s="8"/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1E-3</v>
      </c>
      <c r="AU46">
        <v>0.24299999999999999</v>
      </c>
      <c r="AV46">
        <v>0.24199999999999999</v>
      </c>
      <c r="AW46">
        <v>0.27700000000000002</v>
      </c>
      <c r="AX46">
        <v>0.22800000000000001</v>
      </c>
      <c r="AY46">
        <v>0.255</v>
      </c>
      <c r="AZ46">
        <v>0.27500000000000002</v>
      </c>
    </row>
    <row r="47" spans="3:52">
      <c r="C47" t="s">
        <v>58</v>
      </c>
      <c r="D47" t="s">
        <v>2715</v>
      </c>
      <c r="F47" t="s">
        <v>2868</v>
      </c>
      <c r="G47" t="s">
        <v>2770</v>
      </c>
      <c r="H47" t="s">
        <v>233</v>
      </c>
      <c r="I47" t="s">
        <v>2771</v>
      </c>
      <c r="K47" t="s">
        <v>2869</v>
      </c>
      <c r="L47">
        <v>0.1</v>
      </c>
      <c r="M47" s="12">
        <v>43476</v>
      </c>
      <c r="N47">
        <v>1</v>
      </c>
      <c r="O47" t="s">
        <v>67</v>
      </c>
      <c r="P47">
        <v>2019</v>
      </c>
      <c r="Q47">
        <v>0.17449999999999999</v>
      </c>
      <c r="R47" s="10"/>
      <c r="S47" s="11">
        <v>0.17449999999999999</v>
      </c>
      <c r="T47" s="8"/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S47">
        <v>0</v>
      </c>
      <c r="AT47">
        <v>1.2999999999999999E-2</v>
      </c>
      <c r="AU47">
        <v>3.1E-2</v>
      </c>
      <c r="AV47">
        <v>2.5999999999999999E-2</v>
      </c>
      <c r="AW47">
        <v>5.7000000000000002E-2</v>
      </c>
      <c r="AX47">
        <v>0.02</v>
      </c>
      <c r="AY47">
        <v>1.7999999999999999E-2</v>
      </c>
      <c r="AZ47">
        <v>1.7999999999999999E-2</v>
      </c>
    </row>
    <row r="48" spans="3:52">
      <c r="C48" t="s">
        <v>58</v>
      </c>
      <c r="D48" t="s">
        <v>2715</v>
      </c>
      <c r="F48" t="s">
        <v>2870</v>
      </c>
      <c r="G48" t="s">
        <v>2871</v>
      </c>
      <c r="H48" t="s">
        <v>163</v>
      </c>
      <c r="I48" t="s">
        <v>2872</v>
      </c>
      <c r="J48" t="s">
        <v>2873</v>
      </c>
      <c r="K48" t="s">
        <v>2874</v>
      </c>
      <c r="L48">
        <v>0.2</v>
      </c>
      <c r="M48" s="12">
        <v>40483</v>
      </c>
      <c r="N48">
        <v>11</v>
      </c>
      <c r="O48" t="s">
        <v>71</v>
      </c>
      <c r="P48">
        <v>2010</v>
      </c>
      <c r="Q48">
        <v>0.1163</v>
      </c>
      <c r="R48" s="10"/>
      <c r="S48" s="11">
        <v>0.1163</v>
      </c>
      <c r="T48" s="8"/>
      <c r="U48">
        <v>2.4E-2</v>
      </c>
      <c r="V48">
        <v>5.7000000000000002E-2</v>
      </c>
      <c r="W48">
        <v>0.13900000000000001</v>
      </c>
      <c r="X48">
        <v>3.8000000000000006E-2</v>
      </c>
      <c r="Y48">
        <v>1.9000000000000017E-2</v>
      </c>
      <c r="Z48">
        <v>3.0000000000000027E-3</v>
      </c>
      <c r="AA48">
        <v>7.9999999999999516E-3</v>
      </c>
      <c r="AB48">
        <v>1.0000000000000009E-3</v>
      </c>
      <c r="AC48">
        <v>1.6000000000000014E-2</v>
      </c>
      <c r="AD48">
        <v>7.0000000000000007E-2</v>
      </c>
      <c r="AE48">
        <v>9.0000000000000024E-2</v>
      </c>
      <c r="AF48">
        <v>6.9000000000000006E-2</v>
      </c>
      <c r="AG48">
        <v>6.5000000000000002E-2</v>
      </c>
      <c r="AH48">
        <v>5.2999999999999999E-2</v>
      </c>
      <c r="AI48">
        <v>0.13500000000000001</v>
      </c>
      <c r="AJ48">
        <v>0.13500000000000001</v>
      </c>
      <c r="AK48">
        <v>1.7999999999999999E-2</v>
      </c>
      <c r="AL48">
        <v>5.0000000000000001E-3</v>
      </c>
      <c r="AM48">
        <v>1.2E-2</v>
      </c>
      <c r="AN48">
        <v>8.0000000000000002E-3</v>
      </c>
      <c r="AO48">
        <v>3.3000000000000002E-2</v>
      </c>
      <c r="AP48">
        <v>0.106</v>
      </c>
      <c r="AQ48">
        <v>0.106</v>
      </c>
      <c r="AR48">
        <v>4.7E-2</v>
      </c>
      <c r="AS48">
        <v>4.2999999999999997E-2</v>
      </c>
      <c r="AT48">
        <v>7.9000000000000001E-2</v>
      </c>
      <c r="AU48">
        <v>5.5E-2</v>
      </c>
      <c r="AV48">
        <v>1.4E-2</v>
      </c>
      <c r="AW48">
        <v>0.03</v>
      </c>
      <c r="AX48">
        <v>7.9000000000000001E-2</v>
      </c>
      <c r="AY48">
        <v>2.4E-2</v>
      </c>
      <c r="AZ48">
        <v>6.0000000000000001E-3</v>
      </c>
    </row>
    <row r="49" spans="2:52">
      <c r="C49" t="s">
        <v>58</v>
      </c>
      <c r="D49" t="s">
        <v>2715</v>
      </c>
      <c r="F49" t="s">
        <v>2870</v>
      </c>
      <c r="G49" t="s">
        <v>2875</v>
      </c>
      <c r="H49" t="s">
        <v>163</v>
      </c>
      <c r="I49" t="s">
        <v>964</v>
      </c>
      <c r="J49" t="s">
        <v>2876</v>
      </c>
      <c r="K49" t="s">
        <v>2876</v>
      </c>
      <c r="L49">
        <v>0.6</v>
      </c>
      <c r="M49" s="12">
        <v>40817</v>
      </c>
      <c r="N49">
        <v>10</v>
      </c>
      <c r="O49" t="s">
        <v>71</v>
      </c>
      <c r="P49">
        <v>2011</v>
      </c>
      <c r="Q49">
        <v>0.1163</v>
      </c>
      <c r="R49" s="10"/>
      <c r="S49" s="11">
        <v>0.1163</v>
      </c>
      <c r="T49" s="8"/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2:52">
      <c r="C50" t="s">
        <v>58</v>
      </c>
      <c r="D50" t="s">
        <v>2715</v>
      </c>
      <c r="F50" t="s">
        <v>2870</v>
      </c>
      <c r="G50" t="s">
        <v>2877</v>
      </c>
      <c r="H50" t="s">
        <v>163</v>
      </c>
      <c r="I50" t="s">
        <v>2878</v>
      </c>
      <c r="J50" t="s">
        <v>2879</v>
      </c>
      <c r="K50" t="s">
        <v>2879</v>
      </c>
      <c r="L50">
        <v>0.52800000000000002</v>
      </c>
      <c r="M50" s="12">
        <v>41998</v>
      </c>
      <c r="N50">
        <v>12</v>
      </c>
      <c r="O50" t="s">
        <v>71</v>
      </c>
      <c r="P50">
        <v>2014</v>
      </c>
      <c r="Q50">
        <v>0.15509999999999999</v>
      </c>
      <c r="R50" s="10"/>
      <c r="S50" s="11">
        <v>0.15509999999999999</v>
      </c>
      <c r="T50" s="8"/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2.7E-2</v>
      </c>
      <c r="AH50">
        <v>2.3E-2</v>
      </c>
      <c r="AI50">
        <v>5.8999999999999997E-2</v>
      </c>
      <c r="AJ50">
        <v>9.8000000000000004E-2</v>
      </c>
      <c r="AK50">
        <v>1.9E-2</v>
      </c>
      <c r="AL50">
        <v>8.0000000000000002E-3</v>
      </c>
      <c r="AM50">
        <v>1.6E-2</v>
      </c>
      <c r="AN50">
        <v>1.0999999999999999E-2</v>
      </c>
      <c r="AO50">
        <v>2.9000000000000001E-2</v>
      </c>
      <c r="AP50">
        <v>7.1999999999999995E-2</v>
      </c>
      <c r="AQ50">
        <v>9.2999999999999999E-2</v>
      </c>
      <c r="AR50">
        <v>3.2000000000000001E-2</v>
      </c>
      <c r="AS50">
        <v>0.02</v>
      </c>
      <c r="AT50">
        <v>3.5999999999999997E-2</v>
      </c>
      <c r="AU50">
        <v>2.5999999999999999E-2</v>
      </c>
      <c r="AV50">
        <v>1.7000000000000001E-2</v>
      </c>
      <c r="AW50">
        <v>2.1000000000000001E-2</v>
      </c>
      <c r="AX50">
        <v>8.2000000000000003E-2</v>
      </c>
      <c r="AY50">
        <v>2.3E-2</v>
      </c>
      <c r="AZ50">
        <v>8.9999999999999993E-3</v>
      </c>
    </row>
    <row r="51" spans="2:52">
      <c r="C51" t="s">
        <v>58</v>
      </c>
      <c r="D51" t="s">
        <v>2715</v>
      </c>
      <c r="F51" t="s">
        <v>2880</v>
      </c>
      <c r="G51" t="s">
        <v>2881</v>
      </c>
      <c r="H51" t="s">
        <v>172</v>
      </c>
      <c r="I51" t="s">
        <v>1935</v>
      </c>
      <c r="J51" t="s">
        <v>2882</v>
      </c>
      <c r="K51" t="s">
        <v>2883</v>
      </c>
      <c r="L51">
        <v>0.185</v>
      </c>
      <c r="M51" s="12">
        <v>42180</v>
      </c>
      <c r="N51">
        <v>6</v>
      </c>
      <c r="O51" t="s">
        <v>57</v>
      </c>
      <c r="P51">
        <v>2015</v>
      </c>
      <c r="Q51">
        <v>0.19389999999999999</v>
      </c>
      <c r="R51" s="10"/>
      <c r="S51" s="11">
        <v>0.19389999999999999</v>
      </c>
      <c r="T51" s="8"/>
      <c r="U51">
        <v>3.5999999999999997E-2</v>
      </c>
      <c r="V51">
        <v>5.1999999999999998E-2</v>
      </c>
      <c r="W51">
        <v>9.0999999999999998E-2</v>
      </c>
      <c r="X51">
        <v>0.03</v>
      </c>
      <c r="Y51">
        <v>2.7999999999999997E-2</v>
      </c>
      <c r="Z51">
        <v>2.300000000000002E-2</v>
      </c>
      <c r="AA51">
        <v>2.0000000000000018E-2</v>
      </c>
      <c r="AB51">
        <v>1.699999999999996E-2</v>
      </c>
      <c r="AC51">
        <v>3.1000000000000028E-2</v>
      </c>
      <c r="AD51">
        <v>4.3999999999999984E-2</v>
      </c>
      <c r="AE51">
        <v>4.1999999999999982E-2</v>
      </c>
      <c r="AF51">
        <v>4.0000000000000036E-2</v>
      </c>
      <c r="AG51">
        <v>3.5000000000000003E-2</v>
      </c>
      <c r="AH51">
        <v>3.1E-2</v>
      </c>
      <c r="AI51">
        <v>6.4000000000000001E-2</v>
      </c>
      <c r="AJ51">
        <v>4.4999999999999998E-2</v>
      </c>
      <c r="AK51">
        <v>2.8000000000000001E-2</v>
      </c>
      <c r="AL51">
        <v>0.03</v>
      </c>
      <c r="AM51">
        <v>3.5999999999999997E-2</v>
      </c>
      <c r="AN51">
        <v>2.5999999999999999E-2</v>
      </c>
      <c r="AO51">
        <v>0.02</v>
      </c>
      <c r="AP51">
        <v>3.9E-2</v>
      </c>
      <c r="AQ51">
        <v>3.2000000000000001E-2</v>
      </c>
      <c r="AR51">
        <v>3.9E-2</v>
      </c>
      <c r="AS51">
        <v>4.2000000000000003E-2</v>
      </c>
      <c r="AT51">
        <v>4.9000000000000002E-2</v>
      </c>
      <c r="AU51">
        <v>4.9000000000000002E-2</v>
      </c>
      <c r="AV51">
        <v>3.6999999999999998E-2</v>
      </c>
      <c r="AW51">
        <v>9.2999999999999999E-2</v>
      </c>
      <c r="AX51">
        <v>7.6999999999999999E-2</v>
      </c>
      <c r="AY51">
        <v>3.5000000000000003E-2</v>
      </c>
      <c r="AZ51">
        <v>3.5999999999999997E-2</v>
      </c>
    </row>
    <row r="52" spans="2:52">
      <c r="C52" t="s">
        <v>58</v>
      </c>
      <c r="D52" t="s">
        <v>2715</v>
      </c>
      <c r="F52" t="s">
        <v>2880</v>
      </c>
      <c r="G52" t="s">
        <v>2884</v>
      </c>
      <c r="H52" t="s">
        <v>198</v>
      </c>
      <c r="I52" t="s">
        <v>571</v>
      </c>
      <c r="J52" t="s">
        <v>2885</v>
      </c>
      <c r="K52" t="s">
        <v>2886</v>
      </c>
      <c r="L52">
        <v>8.8999999999999996E-2</v>
      </c>
      <c r="M52" s="12">
        <v>43096</v>
      </c>
      <c r="N52">
        <v>12</v>
      </c>
      <c r="O52" t="s">
        <v>71</v>
      </c>
      <c r="P52">
        <v>2017</v>
      </c>
      <c r="Q52">
        <v>0.1163</v>
      </c>
      <c r="R52" s="10"/>
      <c r="S52" s="11">
        <v>0.1163</v>
      </c>
      <c r="T52" s="8"/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1.0999999999999999E-2</v>
      </c>
      <c r="AH52">
        <v>1.2E-2</v>
      </c>
      <c r="AI52">
        <v>1.0999999999999999E-2</v>
      </c>
      <c r="AJ52">
        <v>1.2999999999999999E-2</v>
      </c>
      <c r="AK52">
        <v>0.01</v>
      </c>
      <c r="AL52">
        <v>0.01</v>
      </c>
      <c r="AM52">
        <v>0.01</v>
      </c>
      <c r="AN52">
        <v>7.0000000000000001E-3</v>
      </c>
      <c r="AO52">
        <v>8.9999999999999993E-3</v>
      </c>
      <c r="AP52">
        <v>0.01</v>
      </c>
      <c r="AQ52">
        <v>0.01</v>
      </c>
      <c r="AR52">
        <v>0.01</v>
      </c>
      <c r="AS52">
        <v>1.2999999999999999E-2</v>
      </c>
      <c r="AT52">
        <v>1.6E-2</v>
      </c>
      <c r="AU52">
        <v>1.6E-2</v>
      </c>
      <c r="AV52">
        <v>1.4E-2</v>
      </c>
      <c r="AW52">
        <v>1.4E-2</v>
      </c>
      <c r="AX52">
        <v>1.0999999999999999E-2</v>
      </c>
      <c r="AY52">
        <v>8.0000000000000002E-3</v>
      </c>
      <c r="AZ52">
        <v>0.01</v>
      </c>
    </row>
    <row r="53" spans="2:52">
      <c r="C53" t="s">
        <v>58</v>
      </c>
      <c r="D53" t="s">
        <v>2715</v>
      </c>
      <c r="F53" t="s">
        <v>2887</v>
      </c>
      <c r="G53" t="s">
        <v>2888</v>
      </c>
      <c r="H53" t="s">
        <v>172</v>
      </c>
      <c r="I53" t="s">
        <v>2763</v>
      </c>
      <c r="J53" t="s">
        <v>2889</v>
      </c>
      <c r="K53" t="s">
        <v>2889</v>
      </c>
      <c r="L53">
        <v>8.4000000000000005E-2</v>
      </c>
      <c r="M53" s="12">
        <v>41417</v>
      </c>
      <c r="N53">
        <v>5</v>
      </c>
      <c r="O53" t="s">
        <v>57</v>
      </c>
      <c r="P53">
        <v>2013</v>
      </c>
      <c r="Q53">
        <v>0.19389999999999999</v>
      </c>
      <c r="R53" s="10"/>
      <c r="S53" s="11">
        <v>0.19389999999999999</v>
      </c>
      <c r="T53" s="8"/>
      <c r="U53">
        <v>2.1000000000000001E-2</v>
      </c>
      <c r="V53">
        <v>1.5999999999999997E-2</v>
      </c>
      <c r="W53">
        <v>1.6E-2</v>
      </c>
      <c r="X53">
        <v>2.1999999999999999E-2</v>
      </c>
      <c r="Y53">
        <v>1.8000000000000002E-2</v>
      </c>
      <c r="Z53">
        <v>9.999999999999995E-3</v>
      </c>
      <c r="AA53">
        <v>9.000000000000008E-3</v>
      </c>
      <c r="AB53">
        <v>6.9999999999999923E-3</v>
      </c>
      <c r="AC53">
        <v>8.0000000000000071E-3</v>
      </c>
      <c r="AD53">
        <v>1.7999999999999988E-2</v>
      </c>
      <c r="AE53">
        <v>2.0000000000000018E-2</v>
      </c>
      <c r="AF53">
        <v>1.6999999999999987E-2</v>
      </c>
      <c r="AG53">
        <v>0.02</v>
      </c>
      <c r="AH53">
        <v>1.9E-2</v>
      </c>
      <c r="AI53">
        <v>1.6E-2</v>
      </c>
      <c r="AJ53">
        <v>1.7000000000000001E-2</v>
      </c>
      <c r="AK53">
        <v>1.4E-2</v>
      </c>
      <c r="AL53">
        <v>0.01</v>
      </c>
      <c r="AM53">
        <v>0.01</v>
      </c>
      <c r="AN53">
        <v>8.0000000000000002E-3</v>
      </c>
      <c r="AO53">
        <v>8.0000000000000002E-3</v>
      </c>
      <c r="AP53">
        <v>1.0999999999999999E-2</v>
      </c>
      <c r="AQ53">
        <v>1.4999999999999999E-2</v>
      </c>
      <c r="AR53">
        <v>2.1999999999999999E-2</v>
      </c>
      <c r="AS53">
        <v>2.4E-2</v>
      </c>
      <c r="AT53">
        <v>2.4E-2</v>
      </c>
      <c r="AU53">
        <v>2.5000000000000001E-2</v>
      </c>
      <c r="AV53">
        <v>1.9E-2</v>
      </c>
      <c r="AW53">
        <v>1.7000000000000001E-2</v>
      </c>
      <c r="AX53">
        <v>1.4999999999999999E-2</v>
      </c>
      <c r="AY53">
        <v>0</v>
      </c>
      <c r="AZ53">
        <v>5.0000000000000001E-3</v>
      </c>
    </row>
    <row r="54" spans="2:52">
      <c r="B54" t="s">
        <v>2890</v>
      </c>
      <c r="C54">
        <v>34698924</v>
      </c>
      <c r="D54" t="s">
        <v>2715</v>
      </c>
      <c r="F54" t="s">
        <v>2891</v>
      </c>
      <c r="G54" t="s">
        <v>2892</v>
      </c>
      <c r="H54" t="s">
        <v>263</v>
      </c>
      <c r="I54" t="s">
        <v>2893</v>
      </c>
      <c r="J54" t="s">
        <v>2894</v>
      </c>
      <c r="K54" t="s">
        <v>2895</v>
      </c>
      <c r="L54">
        <v>1.038</v>
      </c>
      <c r="M54" s="12">
        <v>40118</v>
      </c>
      <c r="N54">
        <v>11</v>
      </c>
      <c r="O54" t="s">
        <v>71</v>
      </c>
      <c r="P54">
        <v>2009</v>
      </c>
      <c r="Q54">
        <v>0.1163</v>
      </c>
      <c r="R54" s="10"/>
      <c r="S54" s="11">
        <v>0.1163</v>
      </c>
      <c r="T54" s="8"/>
      <c r="U54">
        <v>0.378</v>
      </c>
      <c r="V54">
        <v>0.33999999999999997</v>
      </c>
      <c r="W54">
        <v>0.23699999999999999</v>
      </c>
      <c r="X54">
        <v>0.33599999999999997</v>
      </c>
      <c r="Y54">
        <v>0.32800000000000007</v>
      </c>
      <c r="Z54">
        <v>0.16599999999999993</v>
      </c>
      <c r="AA54">
        <v>0.13600000000000012</v>
      </c>
      <c r="AB54">
        <v>0.12499999999999978</v>
      </c>
      <c r="AC54">
        <v>0.14100000000000001</v>
      </c>
      <c r="AD54">
        <v>0.23500000000000032</v>
      </c>
      <c r="AE54">
        <v>0.35299999999999976</v>
      </c>
      <c r="AF54">
        <v>0.33700000000000019</v>
      </c>
      <c r="AG54">
        <v>0.35399999999999998</v>
      </c>
      <c r="AH54">
        <v>0.35399999999999998</v>
      </c>
      <c r="AI54">
        <v>0.377</v>
      </c>
      <c r="AJ54">
        <v>1.4E-2</v>
      </c>
      <c r="AK54">
        <v>0.22700000000000001</v>
      </c>
      <c r="AL54">
        <v>0.24299999999999999</v>
      </c>
      <c r="AM54">
        <v>0.16900000000000001</v>
      </c>
      <c r="AN54">
        <v>0.19</v>
      </c>
      <c r="AO54">
        <v>0.151</v>
      </c>
      <c r="AP54">
        <v>0.26600000000000001</v>
      </c>
      <c r="AQ54">
        <v>0.28299999999999997</v>
      </c>
      <c r="AR54">
        <v>0.26700000000000002</v>
      </c>
      <c r="AS54">
        <v>0.3</v>
      </c>
      <c r="AT54">
        <v>0.32700000000000001</v>
      </c>
      <c r="AU54">
        <v>0.307</v>
      </c>
      <c r="AV54">
        <v>0.34399999999999997</v>
      </c>
      <c r="AW54">
        <v>0.32</v>
      </c>
      <c r="AX54">
        <v>0.184</v>
      </c>
      <c r="AY54">
        <v>0.109</v>
      </c>
      <c r="AZ54">
        <v>7.2999999999999995E-2</v>
      </c>
    </row>
    <row r="55" spans="2:52">
      <c r="C55" t="s">
        <v>58</v>
      </c>
      <c r="D55" t="s">
        <v>2896</v>
      </c>
      <c r="F55" t="s">
        <v>2897</v>
      </c>
      <c r="G55" t="s">
        <v>2744</v>
      </c>
      <c r="H55" t="s">
        <v>56</v>
      </c>
      <c r="I55" t="s">
        <v>2898</v>
      </c>
      <c r="J55" t="s">
        <v>2899</v>
      </c>
      <c r="K55" t="s">
        <v>2900</v>
      </c>
      <c r="L55">
        <v>0.94</v>
      </c>
      <c r="M55" s="12">
        <v>41317</v>
      </c>
      <c r="N55">
        <v>2</v>
      </c>
      <c r="O55" t="s">
        <v>67</v>
      </c>
      <c r="P55">
        <v>2013</v>
      </c>
      <c r="Q55">
        <v>0.15509999999999999</v>
      </c>
      <c r="R55" s="10"/>
      <c r="S55" s="11">
        <v>0.15509999999999999</v>
      </c>
      <c r="T55" s="8"/>
      <c r="U55">
        <v>0.28399999999999997</v>
      </c>
      <c r="V55">
        <v>0.29699999999999999</v>
      </c>
      <c r="W55">
        <v>6.700000000000006E-2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2:52">
      <c r="C56" t="s">
        <v>58</v>
      </c>
      <c r="D56" t="s">
        <v>2715</v>
      </c>
      <c r="F56" t="s">
        <v>2901</v>
      </c>
      <c r="G56" t="s">
        <v>2902</v>
      </c>
      <c r="H56" t="s">
        <v>82</v>
      </c>
      <c r="I56" t="s">
        <v>2903</v>
      </c>
      <c r="J56" t="s">
        <v>2904</v>
      </c>
      <c r="K56" t="s">
        <v>2905</v>
      </c>
      <c r="L56">
        <v>0.90400000000000003</v>
      </c>
      <c r="M56" s="12">
        <v>43158</v>
      </c>
      <c r="N56">
        <v>2</v>
      </c>
      <c r="O56" t="s">
        <v>67</v>
      </c>
      <c r="P56">
        <v>2018</v>
      </c>
      <c r="Q56">
        <v>0.1163</v>
      </c>
      <c r="R56" s="10"/>
      <c r="S56" s="11">
        <v>0.1163</v>
      </c>
      <c r="T56" s="8"/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0.128</v>
      </c>
      <c r="AM56">
        <v>0.17799999999999999</v>
      </c>
      <c r="AN56">
        <v>0.13200000000000001</v>
      </c>
      <c r="AO56">
        <v>0.14499999999999999</v>
      </c>
      <c r="AP56">
        <v>0.28999999999999998</v>
      </c>
      <c r="AQ56">
        <v>0.38400000000000001</v>
      </c>
      <c r="AR56">
        <v>0.378</v>
      </c>
      <c r="AS56">
        <v>0.35799999999999998</v>
      </c>
      <c r="AT56">
        <v>0.44800000000000001</v>
      </c>
      <c r="AU56">
        <v>0.51</v>
      </c>
      <c r="AV56">
        <v>0.375</v>
      </c>
      <c r="AW56">
        <v>0.316</v>
      </c>
      <c r="AX56">
        <v>0.42199999999999999</v>
      </c>
      <c r="AY56">
        <v>0.121</v>
      </c>
      <c r="AZ56">
        <v>9.7000000000000003E-2</v>
      </c>
    </row>
    <row r="57" spans="2:52">
      <c r="C57" t="s">
        <v>58</v>
      </c>
      <c r="D57" t="s">
        <v>2715</v>
      </c>
      <c r="F57" t="s">
        <v>2906</v>
      </c>
      <c r="G57" t="s">
        <v>2907</v>
      </c>
      <c r="H57" t="s">
        <v>62</v>
      </c>
      <c r="I57" t="s">
        <v>2740</v>
      </c>
      <c r="J57" t="s">
        <v>2908</v>
      </c>
      <c r="K57" t="s">
        <v>2909</v>
      </c>
      <c r="L57">
        <v>0.03</v>
      </c>
      <c r="M57" s="12">
        <v>42313</v>
      </c>
      <c r="N57">
        <v>11</v>
      </c>
      <c r="O57" t="s">
        <v>71</v>
      </c>
      <c r="P57">
        <v>2015</v>
      </c>
      <c r="Q57">
        <v>0.17449999999999999</v>
      </c>
      <c r="R57" s="10"/>
      <c r="S57" s="11">
        <v>0.17449999999999999</v>
      </c>
      <c r="T57" s="8"/>
      <c r="U57">
        <v>0.01</v>
      </c>
      <c r="V57">
        <v>8.9999999999999993E-3</v>
      </c>
      <c r="W57">
        <v>8.0000000000000002E-3</v>
      </c>
      <c r="X57">
        <v>9.9999999999999985E-3</v>
      </c>
      <c r="Y57">
        <v>1.3000000000000005E-2</v>
      </c>
      <c r="Z57">
        <v>9.999999999999995E-3</v>
      </c>
      <c r="AA57">
        <v>8.0000000000000071E-3</v>
      </c>
      <c r="AB57">
        <v>6.9999999999999923E-3</v>
      </c>
      <c r="AC57">
        <v>1.0999999999999996E-2</v>
      </c>
      <c r="AD57">
        <v>1.6E-2</v>
      </c>
      <c r="AE57">
        <v>1.6E-2</v>
      </c>
      <c r="AF57">
        <v>1.5000000000000013E-2</v>
      </c>
      <c r="AG57">
        <v>1.6E-2</v>
      </c>
      <c r="AH57">
        <v>0.01</v>
      </c>
      <c r="AI57">
        <v>1.6E-2</v>
      </c>
      <c r="AJ57">
        <v>2.1999999999999999E-2</v>
      </c>
      <c r="AK57">
        <v>1.7000000000000001E-2</v>
      </c>
      <c r="AL57">
        <v>1.2999999999999999E-2</v>
      </c>
      <c r="AM57">
        <v>1.7000000000000001E-2</v>
      </c>
      <c r="AN57">
        <v>1.2999999999999999E-2</v>
      </c>
      <c r="AO57">
        <v>1.0999999999999999E-2</v>
      </c>
      <c r="AP57">
        <v>1.6E-2</v>
      </c>
      <c r="AQ57">
        <v>1.4E-2</v>
      </c>
      <c r="AR57">
        <v>1.4E-2</v>
      </c>
      <c r="AS57">
        <v>1.9E-2</v>
      </c>
      <c r="AT57">
        <v>1.7999999999999999E-2</v>
      </c>
      <c r="AU57">
        <v>1.2999999999999999E-2</v>
      </c>
      <c r="AV57">
        <v>1.4999999999999999E-2</v>
      </c>
      <c r="AW57">
        <v>0.02</v>
      </c>
      <c r="AX57">
        <v>1.9E-2</v>
      </c>
      <c r="AY57">
        <v>0.01</v>
      </c>
      <c r="AZ57">
        <v>1.0999999999999999E-2</v>
      </c>
    </row>
    <row r="58" spans="2:52">
      <c r="C58" t="s">
        <v>58</v>
      </c>
      <c r="D58" t="s">
        <v>2715</v>
      </c>
      <c r="F58" t="s">
        <v>2906</v>
      </c>
      <c r="G58" t="s">
        <v>2744</v>
      </c>
      <c r="H58" t="s">
        <v>172</v>
      </c>
      <c r="I58" t="s">
        <v>1935</v>
      </c>
      <c r="J58" t="s">
        <v>2910</v>
      </c>
      <c r="K58" t="s">
        <v>2911</v>
      </c>
      <c r="L58">
        <v>4.3999999999999997E-2</v>
      </c>
      <c r="M58" s="12">
        <v>43613</v>
      </c>
      <c r="N58">
        <v>5</v>
      </c>
      <c r="O58" t="s">
        <v>57</v>
      </c>
      <c r="P58">
        <v>2019</v>
      </c>
      <c r="Q58">
        <v>0.17449999999999999</v>
      </c>
      <c r="R58" s="10"/>
      <c r="S58" s="11">
        <v>0.17449999999999999</v>
      </c>
      <c r="T58" s="8"/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2:52">
      <c r="B59" t="s">
        <v>2912</v>
      </c>
      <c r="C59">
        <v>31597104</v>
      </c>
      <c r="D59" t="s">
        <v>2715</v>
      </c>
      <c r="F59" t="s">
        <v>2913</v>
      </c>
      <c r="G59" t="s">
        <v>2914</v>
      </c>
      <c r="H59" t="s">
        <v>62</v>
      </c>
      <c r="K59" t="s">
        <v>2915</v>
      </c>
      <c r="L59">
        <v>9.375</v>
      </c>
      <c r="M59" s="12">
        <v>40073</v>
      </c>
      <c r="N59">
        <v>9</v>
      </c>
      <c r="O59" t="s">
        <v>60</v>
      </c>
      <c r="P59">
        <v>2009</v>
      </c>
      <c r="Q59">
        <v>0.1163</v>
      </c>
      <c r="R59" s="10"/>
      <c r="S59" s="11">
        <v>0.1163</v>
      </c>
      <c r="T59" s="8"/>
      <c r="U59">
        <v>1.4510000000000001</v>
      </c>
      <c r="V59">
        <v>1.7479999999999998</v>
      </c>
      <c r="W59">
        <v>2.6980000000000004</v>
      </c>
      <c r="X59">
        <v>1.9269999999999996</v>
      </c>
      <c r="Y59">
        <v>1.4800000000000004</v>
      </c>
      <c r="Z59">
        <v>0.85699999999999932</v>
      </c>
      <c r="AA59">
        <v>0.63499999999999979</v>
      </c>
      <c r="AB59">
        <v>0.54300000000000104</v>
      </c>
      <c r="AC59">
        <v>0.70699999999999896</v>
      </c>
      <c r="AD59">
        <v>1.6450000000000014</v>
      </c>
      <c r="AE59">
        <v>1.7569999999999997</v>
      </c>
      <c r="AF59">
        <v>1.8339999999999996</v>
      </c>
      <c r="AG59">
        <v>1.9430000000000001</v>
      </c>
      <c r="AH59">
        <v>1.84</v>
      </c>
      <c r="AI59">
        <v>2.4209999999999998</v>
      </c>
      <c r="AJ59">
        <v>1.7270000000000001</v>
      </c>
      <c r="AK59">
        <v>1.125</v>
      </c>
      <c r="AL59">
        <v>1.0589999999999999</v>
      </c>
      <c r="AM59">
        <v>1.018</v>
      </c>
      <c r="AN59">
        <v>1.137</v>
      </c>
      <c r="AO59">
        <v>1.0269999999999999</v>
      </c>
      <c r="AP59">
        <v>2.0459999999999998</v>
      </c>
      <c r="AQ59">
        <v>1.794</v>
      </c>
      <c r="AR59">
        <v>1.641</v>
      </c>
      <c r="AS59">
        <v>1.7609999999999999</v>
      </c>
      <c r="AT59">
        <v>2.0680000000000001</v>
      </c>
      <c r="AU59">
        <v>2.0510000000000002</v>
      </c>
      <c r="AV59">
        <v>1.615</v>
      </c>
      <c r="AW59">
        <v>2.274</v>
      </c>
      <c r="AX59">
        <v>1.6850000000000001</v>
      </c>
      <c r="AY59">
        <v>0.80500000000000005</v>
      </c>
      <c r="AZ59">
        <v>0.62</v>
      </c>
    </row>
    <row r="60" spans="2:52">
      <c r="B60" t="s">
        <v>2916</v>
      </c>
      <c r="C60">
        <v>31597104</v>
      </c>
      <c r="D60" t="s">
        <v>2715</v>
      </c>
      <c r="F60" t="s">
        <v>2913</v>
      </c>
      <c r="G60" t="s">
        <v>2917</v>
      </c>
      <c r="H60" t="s">
        <v>107</v>
      </c>
      <c r="K60" t="s">
        <v>2918</v>
      </c>
      <c r="L60">
        <v>1.7</v>
      </c>
      <c r="M60" s="12">
        <v>41200</v>
      </c>
      <c r="N60">
        <v>10</v>
      </c>
      <c r="O60" t="s">
        <v>71</v>
      </c>
      <c r="P60">
        <v>2012</v>
      </c>
      <c r="Q60">
        <v>0.1163</v>
      </c>
      <c r="R60" s="10"/>
      <c r="S60" s="11">
        <v>0.1163</v>
      </c>
      <c r="T60" s="8"/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2:52">
      <c r="B61" t="s">
        <v>2919</v>
      </c>
      <c r="C61">
        <v>31597104</v>
      </c>
      <c r="D61" t="s">
        <v>2715</v>
      </c>
      <c r="F61" t="s">
        <v>2913</v>
      </c>
      <c r="G61" t="s">
        <v>2920</v>
      </c>
      <c r="H61" t="s">
        <v>107</v>
      </c>
      <c r="K61" t="s">
        <v>2921</v>
      </c>
      <c r="L61">
        <v>0.6</v>
      </c>
      <c r="M61" s="12">
        <v>41200</v>
      </c>
      <c r="N61">
        <v>10</v>
      </c>
      <c r="O61" t="s">
        <v>71</v>
      </c>
      <c r="P61">
        <v>2012</v>
      </c>
      <c r="Q61">
        <v>0.1163</v>
      </c>
      <c r="R61" s="10"/>
      <c r="S61" s="11">
        <v>0.1163</v>
      </c>
      <c r="T61" s="8"/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2:52">
      <c r="B62" t="s">
        <v>2922</v>
      </c>
      <c r="C62">
        <v>31597104</v>
      </c>
      <c r="D62" t="s">
        <v>2715</v>
      </c>
      <c r="F62" t="s">
        <v>2913</v>
      </c>
      <c r="G62" t="s">
        <v>2923</v>
      </c>
      <c r="H62" t="s">
        <v>263</v>
      </c>
      <c r="K62" t="s">
        <v>2924</v>
      </c>
      <c r="L62">
        <v>0.5</v>
      </c>
      <c r="M62" s="12">
        <v>41200</v>
      </c>
      <c r="N62">
        <v>10</v>
      </c>
      <c r="O62" t="s">
        <v>71</v>
      </c>
      <c r="P62">
        <v>2012</v>
      </c>
      <c r="Q62">
        <v>0.1163</v>
      </c>
      <c r="R62" s="10"/>
      <c r="S62" s="11">
        <v>0.1163</v>
      </c>
      <c r="T62" s="8"/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2:52">
      <c r="B63" t="s">
        <v>2925</v>
      </c>
      <c r="C63">
        <v>31597104</v>
      </c>
      <c r="D63" t="s">
        <v>2715</v>
      </c>
      <c r="F63" t="s">
        <v>2913</v>
      </c>
      <c r="G63" t="s">
        <v>2926</v>
      </c>
      <c r="H63" t="s">
        <v>263</v>
      </c>
      <c r="K63" t="s">
        <v>2927</v>
      </c>
      <c r="L63">
        <v>0.47499999999999998</v>
      </c>
      <c r="M63" s="12">
        <v>41200</v>
      </c>
      <c r="N63">
        <v>10</v>
      </c>
      <c r="O63" t="s">
        <v>71</v>
      </c>
      <c r="P63">
        <v>2012</v>
      </c>
      <c r="Q63">
        <v>0.1163</v>
      </c>
      <c r="R63" s="10"/>
      <c r="S63" s="11">
        <v>0.1163</v>
      </c>
      <c r="T63" s="8"/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2:52">
      <c r="B64" t="s">
        <v>2928</v>
      </c>
      <c r="C64">
        <v>31597104</v>
      </c>
      <c r="D64" t="s">
        <v>2715</v>
      </c>
      <c r="F64" t="s">
        <v>2913</v>
      </c>
      <c r="G64" t="s">
        <v>2929</v>
      </c>
      <c r="H64" t="s">
        <v>263</v>
      </c>
      <c r="K64" t="s">
        <v>2930</v>
      </c>
      <c r="L64">
        <v>0.375</v>
      </c>
      <c r="M64" s="12">
        <v>41200</v>
      </c>
      <c r="N64">
        <v>10</v>
      </c>
      <c r="O64" t="s">
        <v>71</v>
      </c>
      <c r="P64">
        <v>2012</v>
      </c>
      <c r="Q64">
        <v>0.1163</v>
      </c>
      <c r="R64" s="10"/>
      <c r="S64" s="11">
        <v>0.1163</v>
      </c>
      <c r="T64" s="8"/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2:52">
      <c r="B65" t="s">
        <v>2931</v>
      </c>
      <c r="C65">
        <v>31597104</v>
      </c>
      <c r="D65" t="s">
        <v>2715</v>
      </c>
      <c r="F65" t="s">
        <v>2913</v>
      </c>
      <c r="G65" t="s">
        <v>2932</v>
      </c>
      <c r="H65" t="s">
        <v>263</v>
      </c>
      <c r="K65" t="s">
        <v>2933</v>
      </c>
      <c r="L65">
        <v>0.75</v>
      </c>
      <c r="M65" s="12">
        <v>41200</v>
      </c>
      <c r="N65">
        <v>10</v>
      </c>
      <c r="O65" t="s">
        <v>71</v>
      </c>
      <c r="P65">
        <v>2012</v>
      </c>
      <c r="Q65">
        <v>0.1163</v>
      </c>
      <c r="R65" s="10"/>
      <c r="S65" s="11">
        <v>0.1163</v>
      </c>
      <c r="T65" s="8"/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2:52">
      <c r="B66" t="s">
        <v>2934</v>
      </c>
      <c r="C66">
        <v>32270093</v>
      </c>
      <c r="D66" t="s">
        <v>2715</v>
      </c>
      <c r="F66" t="s">
        <v>2935</v>
      </c>
      <c r="G66" t="s">
        <v>2936</v>
      </c>
      <c r="H66" t="s">
        <v>233</v>
      </c>
      <c r="K66" t="s">
        <v>2937</v>
      </c>
      <c r="L66">
        <v>0.63</v>
      </c>
      <c r="M66" s="12">
        <v>40038</v>
      </c>
      <c r="N66">
        <v>8</v>
      </c>
      <c r="O66" t="s">
        <v>60</v>
      </c>
      <c r="P66">
        <v>2009</v>
      </c>
      <c r="Q66">
        <v>0.1163</v>
      </c>
      <c r="R66" s="10"/>
      <c r="S66" s="11">
        <v>0.1163</v>
      </c>
      <c r="T66" s="8"/>
      <c r="U66">
        <v>0.14599999999999999</v>
      </c>
      <c r="V66">
        <v>0.33499999999999996</v>
      </c>
      <c r="W66">
        <v>0.73000000000000009</v>
      </c>
      <c r="X66">
        <v>0.52299999999999991</v>
      </c>
      <c r="Y66">
        <v>0.44099999999999984</v>
      </c>
      <c r="Z66">
        <v>0.21399999999999997</v>
      </c>
      <c r="AA66">
        <v>0.14300000000000024</v>
      </c>
      <c r="AB66">
        <v>5.600000000000005E-2</v>
      </c>
      <c r="AC66">
        <v>9.6000000000000085E-2</v>
      </c>
      <c r="AD66">
        <v>0.16999999999999993</v>
      </c>
      <c r="AE66">
        <v>0.37999999999999989</v>
      </c>
      <c r="AF66">
        <v>0.40899999999999981</v>
      </c>
      <c r="AG66">
        <v>0.313</v>
      </c>
      <c r="AH66">
        <v>0.17199999999999999</v>
      </c>
      <c r="AI66">
        <v>0.44700000000000001</v>
      </c>
      <c r="AJ66">
        <v>0.67200000000000004</v>
      </c>
      <c r="AK66">
        <v>0.249</v>
      </c>
      <c r="AL66">
        <v>8.5999999999999993E-2</v>
      </c>
      <c r="AM66">
        <v>0.13100000000000001</v>
      </c>
      <c r="AN66">
        <v>0.128</v>
      </c>
      <c r="AO66">
        <v>0.129</v>
      </c>
      <c r="AP66">
        <v>0.16600000000000001</v>
      </c>
      <c r="AQ66">
        <v>0.13200000000000001</v>
      </c>
      <c r="AR66">
        <v>0.16200000000000001</v>
      </c>
      <c r="AS66">
        <v>0.22</v>
      </c>
      <c r="AT66">
        <v>0.23599999999999999</v>
      </c>
      <c r="AU66">
        <v>0.45600000000000002</v>
      </c>
      <c r="AV66">
        <v>0.59599999999999997</v>
      </c>
      <c r="AW66">
        <v>0.56599999999999995</v>
      </c>
      <c r="AX66">
        <v>0.28299999999999997</v>
      </c>
      <c r="AY66">
        <v>8.8999999999999996E-2</v>
      </c>
      <c r="AZ66">
        <v>5.5E-2</v>
      </c>
    </row>
    <row r="67" spans="2:52">
      <c r="C67" t="s">
        <v>58</v>
      </c>
      <c r="F67" t="s">
        <v>2935</v>
      </c>
      <c r="G67" t="s">
        <v>2938</v>
      </c>
      <c r="H67" t="s">
        <v>172</v>
      </c>
      <c r="K67" t="s">
        <v>2939</v>
      </c>
      <c r="M67" s="12">
        <v>41263</v>
      </c>
      <c r="N67">
        <v>12</v>
      </c>
      <c r="O67" t="s">
        <v>71</v>
      </c>
      <c r="P67">
        <v>2012</v>
      </c>
      <c r="Q67">
        <v>0</v>
      </c>
      <c r="R67" s="10"/>
      <c r="S67" s="11">
        <v>0</v>
      </c>
      <c r="T67" s="8"/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2:52">
      <c r="B68" t="s">
        <v>2940</v>
      </c>
      <c r="C68">
        <v>32270093</v>
      </c>
      <c r="D68" t="s">
        <v>2715</v>
      </c>
      <c r="F68" t="s">
        <v>2935</v>
      </c>
      <c r="G68" t="s">
        <v>2941</v>
      </c>
      <c r="H68" t="s">
        <v>62</v>
      </c>
      <c r="K68" t="s">
        <v>2942</v>
      </c>
      <c r="L68">
        <v>0.65500000000000003</v>
      </c>
      <c r="M68" s="12">
        <v>41263</v>
      </c>
      <c r="N68">
        <v>12</v>
      </c>
      <c r="O68" t="s">
        <v>71</v>
      </c>
      <c r="P68">
        <v>2012</v>
      </c>
      <c r="Q68">
        <v>0.1163</v>
      </c>
      <c r="R68" s="10"/>
      <c r="S68" s="11">
        <v>0.1163</v>
      </c>
      <c r="T68" s="8"/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2:52">
      <c r="C69" t="s">
        <v>58</v>
      </c>
      <c r="D69" t="s">
        <v>2715</v>
      </c>
      <c r="F69" t="s">
        <v>2943</v>
      </c>
      <c r="G69" t="s">
        <v>2944</v>
      </c>
      <c r="H69" t="s">
        <v>107</v>
      </c>
      <c r="K69" t="s">
        <v>2945</v>
      </c>
      <c r="L69">
        <v>0.16</v>
      </c>
      <c r="M69" s="12">
        <v>41599</v>
      </c>
      <c r="N69">
        <v>11</v>
      </c>
      <c r="O69" t="s">
        <v>71</v>
      </c>
      <c r="P69">
        <v>2013</v>
      </c>
      <c r="Q69">
        <v>0.19389999999999999</v>
      </c>
      <c r="R69" s="10"/>
      <c r="S69" s="11">
        <v>0.19389999999999999</v>
      </c>
      <c r="T69" s="8"/>
      <c r="U69">
        <v>5.0000000000000001E-3</v>
      </c>
      <c r="V69">
        <v>1.2999999999999998E-2</v>
      </c>
      <c r="W69">
        <v>5.3999999999999992E-2</v>
      </c>
      <c r="X69">
        <v>2.8000000000000011E-2</v>
      </c>
      <c r="Y69">
        <v>2.9999999999999888E-3</v>
      </c>
      <c r="Z69">
        <v>0</v>
      </c>
      <c r="AA69">
        <v>1.0000000000000009E-3</v>
      </c>
      <c r="AB69">
        <v>0</v>
      </c>
      <c r="AC69">
        <v>1.2000000000000011E-2</v>
      </c>
      <c r="AD69">
        <v>3.599999999999999E-2</v>
      </c>
      <c r="AE69">
        <v>1.2000000000000011E-2</v>
      </c>
      <c r="AF69">
        <v>7.9999999999999793E-3</v>
      </c>
      <c r="AG69">
        <v>3.1E-2</v>
      </c>
      <c r="AH69">
        <v>2.7E-2</v>
      </c>
      <c r="AI69">
        <v>4.2999999999999997E-2</v>
      </c>
      <c r="AJ69">
        <v>0.12</v>
      </c>
      <c r="AK69">
        <v>5.2999999999999999E-2</v>
      </c>
      <c r="AL69">
        <v>1.7000000000000001E-2</v>
      </c>
      <c r="AM69">
        <v>2.4E-2</v>
      </c>
      <c r="AN69">
        <v>3.5999999999999997E-2</v>
      </c>
      <c r="AO69">
        <v>1.2999999999999999E-2</v>
      </c>
      <c r="AP69">
        <v>4.5999999999999999E-2</v>
      </c>
      <c r="AQ69">
        <v>5.7000000000000002E-2</v>
      </c>
      <c r="AR69">
        <v>5.8000000000000003E-2</v>
      </c>
      <c r="AS69">
        <v>8.5999999999999993E-2</v>
      </c>
      <c r="AT69">
        <v>0.105</v>
      </c>
      <c r="AU69">
        <v>0.109</v>
      </c>
      <c r="AV69">
        <v>8.5000000000000006E-2</v>
      </c>
      <c r="AW69">
        <v>0.09</v>
      </c>
      <c r="AX69">
        <v>4.2999999999999997E-2</v>
      </c>
      <c r="AY69">
        <v>1.7000000000000001E-2</v>
      </c>
      <c r="AZ69">
        <v>2.4E-2</v>
      </c>
    </row>
    <row r="70" spans="2:52">
      <c r="C70" t="s">
        <v>58</v>
      </c>
      <c r="D70" t="s">
        <v>2715</v>
      </c>
      <c r="F70" t="s">
        <v>2943</v>
      </c>
      <c r="G70" t="s">
        <v>2946</v>
      </c>
      <c r="H70" t="s">
        <v>122</v>
      </c>
      <c r="K70" t="s">
        <v>2947</v>
      </c>
      <c r="L70">
        <v>0.13</v>
      </c>
      <c r="M70" s="12">
        <v>43111</v>
      </c>
      <c r="N70">
        <v>1</v>
      </c>
      <c r="O70" t="s">
        <v>67</v>
      </c>
      <c r="P70">
        <v>2018</v>
      </c>
      <c r="Q70">
        <v>0.17449999999999999</v>
      </c>
      <c r="R70" s="10">
        <v>0.1</v>
      </c>
      <c r="S70" s="11">
        <v>0.19194999999999998</v>
      </c>
      <c r="T70" s="8">
        <v>43300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2:52">
      <c r="B71" t="s">
        <v>2948</v>
      </c>
      <c r="C71">
        <v>24895253</v>
      </c>
      <c r="D71" t="s">
        <v>2715</v>
      </c>
      <c r="F71" t="s">
        <v>763</v>
      </c>
      <c r="G71" t="s">
        <v>2949</v>
      </c>
      <c r="H71" t="s">
        <v>198</v>
      </c>
      <c r="K71" t="s">
        <v>2950</v>
      </c>
      <c r="L71">
        <v>0.35</v>
      </c>
      <c r="M71" s="12">
        <v>40026</v>
      </c>
      <c r="N71">
        <v>8</v>
      </c>
      <c r="O71" t="s">
        <v>60</v>
      </c>
      <c r="P71">
        <v>2009</v>
      </c>
      <c r="Q71">
        <v>0.1163</v>
      </c>
      <c r="R71" s="10"/>
      <c r="S71" s="11">
        <v>0.1163</v>
      </c>
      <c r="T71" s="8"/>
      <c r="U71">
        <v>2.1179999999999999</v>
      </c>
      <c r="V71">
        <v>3.15</v>
      </c>
      <c r="W71">
        <v>6.79</v>
      </c>
      <c r="X71">
        <v>3.4979999999999993</v>
      </c>
      <c r="Y71">
        <v>2.1540000000000017</v>
      </c>
      <c r="Z71">
        <v>1.7940000000000005</v>
      </c>
      <c r="AA71">
        <v>1.5279999999999987</v>
      </c>
      <c r="AB71">
        <v>1.1430000000000007</v>
      </c>
      <c r="AC71">
        <v>1.7409999999999997</v>
      </c>
      <c r="AD71">
        <v>2.0539999999999985</v>
      </c>
      <c r="AE71">
        <v>2.9470000000000027</v>
      </c>
      <c r="AF71">
        <v>3.3410000000000011</v>
      </c>
      <c r="AG71">
        <v>3.1779999999999999</v>
      </c>
      <c r="AH71">
        <v>2.645</v>
      </c>
      <c r="AI71">
        <v>5.3319999999999999</v>
      </c>
      <c r="AJ71">
        <v>3.7869999999999999</v>
      </c>
      <c r="AK71">
        <v>1.353</v>
      </c>
      <c r="AL71">
        <v>1.345</v>
      </c>
      <c r="AM71">
        <v>2.1280000000000001</v>
      </c>
      <c r="AN71">
        <v>1.7549999999999999</v>
      </c>
      <c r="AO71">
        <v>1.607</v>
      </c>
      <c r="AP71">
        <v>2.2789999999999999</v>
      </c>
      <c r="AQ71">
        <v>2.13</v>
      </c>
      <c r="AR71">
        <v>2.5990000000000002</v>
      </c>
      <c r="AS71">
        <v>2.843</v>
      </c>
      <c r="AT71">
        <v>4.0650000000000004</v>
      </c>
      <c r="AU71">
        <v>3.48</v>
      </c>
      <c r="AV71">
        <v>2.48</v>
      </c>
      <c r="AW71">
        <v>4.5789999999999997</v>
      </c>
      <c r="AX71">
        <v>4.5309999999999997</v>
      </c>
      <c r="AY71">
        <v>1.81</v>
      </c>
      <c r="AZ71">
        <v>1.298</v>
      </c>
    </row>
    <row r="72" spans="2:52">
      <c r="B72" t="s">
        <v>2951</v>
      </c>
      <c r="C72">
        <v>24895253</v>
      </c>
      <c r="D72" t="s">
        <v>2715</v>
      </c>
      <c r="F72" t="s">
        <v>763</v>
      </c>
      <c r="G72" t="s">
        <v>2952</v>
      </c>
      <c r="H72" t="s">
        <v>198</v>
      </c>
      <c r="K72" t="s">
        <v>2953</v>
      </c>
      <c r="L72">
        <v>0.26500000000000001</v>
      </c>
      <c r="M72" s="12">
        <v>40026</v>
      </c>
      <c r="N72">
        <v>8</v>
      </c>
      <c r="O72" t="s">
        <v>60</v>
      </c>
      <c r="P72">
        <v>2009</v>
      </c>
      <c r="Q72">
        <v>0.1163</v>
      </c>
      <c r="R72" s="10"/>
      <c r="S72" s="11">
        <v>0.1163</v>
      </c>
      <c r="T72" s="8"/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2:52">
      <c r="B73" t="s">
        <v>2954</v>
      </c>
      <c r="C73">
        <v>24895253</v>
      </c>
      <c r="D73" t="s">
        <v>2715</v>
      </c>
      <c r="F73" t="s">
        <v>763</v>
      </c>
      <c r="G73" t="s">
        <v>2955</v>
      </c>
      <c r="H73" t="s">
        <v>198</v>
      </c>
      <c r="K73" t="s">
        <v>2956</v>
      </c>
      <c r="L73">
        <v>7.5</v>
      </c>
      <c r="M73" s="12">
        <v>40026</v>
      </c>
      <c r="N73">
        <v>8</v>
      </c>
      <c r="O73" t="s">
        <v>60</v>
      </c>
      <c r="P73">
        <v>2009</v>
      </c>
      <c r="Q73">
        <v>0.1163</v>
      </c>
      <c r="R73" s="10"/>
      <c r="S73" s="11">
        <v>0.1163</v>
      </c>
      <c r="T73" s="8"/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2:52">
      <c r="B74" t="s">
        <v>2957</v>
      </c>
      <c r="C74">
        <v>24895253</v>
      </c>
      <c r="D74" t="s">
        <v>2715</v>
      </c>
      <c r="F74" t="s">
        <v>763</v>
      </c>
      <c r="G74" t="s">
        <v>2958</v>
      </c>
      <c r="H74" t="s">
        <v>198</v>
      </c>
      <c r="K74" t="s">
        <v>2959</v>
      </c>
      <c r="L74">
        <v>0.64</v>
      </c>
      <c r="M74" s="12">
        <v>40026</v>
      </c>
      <c r="N74">
        <v>8</v>
      </c>
      <c r="O74" t="s">
        <v>60</v>
      </c>
      <c r="P74">
        <v>2009</v>
      </c>
      <c r="Q74">
        <v>0.1163</v>
      </c>
      <c r="R74" s="10"/>
      <c r="S74" s="11">
        <v>0.1163</v>
      </c>
      <c r="T74" s="8"/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2:52">
      <c r="B75" t="s">
        <v>2960</v>
      </c>
      <c r="C75">
        <v>24895253</v>
      </c>
      <c r="D75" t="s">
        <v>2715</v>
      </c>
      <c r="F75" t="s">
        <v>763</v>
      </c>
      <c r="G75" t="s">
        <v>2961</v>
      </c>
      <c r="H75" t="s">
        <v>65</v>
      </c>
      <c r="K75" t="s">
        <v>2962</v>
      </c>
      <c r="L75">
        <v>0.378</v>
      </c>
      <c r="M75" s="12">
        <v>40909</v>
      </c>
      <c r="N75">
        <v>1</v>
      </c>
      <c r="O75" t="s">
        <v>67</v>
      </c>
      <c r="P75">
        <v>2012</v>
      </c>
      <c r="Q75">
        <v>0.1163</v>
      </c>
      <c r="R75" s="10"/>
      <c r="S75" s="11">
        <v>0.1163</v>
      </c>
      <c r="T75" s="8"/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2:52">
      <c r="B76" t="s">
        <v>2963</v>
      </c>
      <c r="C76">
        <v>24895253</v>
      </c>
      <c r="D76" t="s">
        <v>2715</v>
      </c>
      <c r="F76" t="s">
        <v>763</v>
      </c>
      <c r="G76" t="s">
        <v>2964</v>
      </c>
      <c r="H76" t="s">
        <v>198</v>
      </c>
      <c r="K76" t="s">
        <v>2965</v>
      </c>
      <c r="L76">
        <v>0.2</v>
      </c>
      <c r="M76" s="12">
        <v>40026</v>
      </c>
      <c r="N76">
        <v>8</v>
      </c>
      <c r="O76" t="s">
        <v>60</v>
      </c>
      <c r="P76">
        <v>2009</v>
      </c>
      <c r="Q76">
        <v>0.1163</v>
      </c>
      <c r="R76" s="10"/>
      <c r="S76" s="11">
        <v>0.1163</v>
      </c>
      <c r="T76" s="8"/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2:52">
      <c r="B77" t="s">
        <v>2966</v>
      </c>
      <c r="C77">
        <v>24895253</v>
      </c>
      <c r="D77" t="s">
        <v>2715</v>
      </c>
      <c r="F77" t="s">
        <v>763</v>
      </c>
      <c r="G77" t="s">
        <v>2967</v>
      </c>
      <c r="H77" t="s">
        <v>198</v>
      </c>
      <c r="K77" t="s">
        <v>2968</v>
      </c>
      <c r="L77">
        <v>1.05</v>
      </c>
      <c r="M77" s="12">
        <v>40026</v>
      </c>
      <c r="N77">
        <v>8</v>
      </c>
      <c r="O77" t="s">
        <v>60</v>
      </c>
      <c r="P77">
        <v>2009</v>
      </c>
      <c r="Q77">
        <v>0.1163</v>
      </c>
      <c r="R77" s="10"/>
      <c r="S77" s="11">
        <v>0.1163</v>
      </c>
      <c r="T77" s="8"/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2:52">
      <c r="B78" t="s">
        <v>2969</v>
      </c>
      <c r="C78">
        <v>24895253</v>
      </c>
      <c r="D78" t="s">
        <v>2715</v>
      </c>
      <c r="F78" t="s">
        <v>763</v>
      </c>
      <c r="G78" t="s">
        <v>2970</v>
      </c>
      <c r="H78" t="s">
        <v>198</v>
      </c>
      <c r="K78" t="s">
        <v>2971</v>
      </c>
      <c r="L78">
        <v>0.52800000000000002</v>
      </c>
      <c r="M78" s="12">
        <v>40026</v>
      </c>
      <c r="N78">
        <v>8</v>
      </c>
      <c r="O78" t="s">
        <v>60</v>
      </c>
      <c r="P78">
        <v>2009</v>
      </c>
      <c r="Q78">
        <v>0.1163</v>
      </c>
      <c r="R78" s="10"/>
      <c r="S78" s="11">
        <v>0.1163</v>
      </c>
      <c r="T78" s="8"/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2:52">
      <c r="B79" t="s">
        <v>2972</v>
      </c>
      <c r="C79">
        <v>24895253</v>
      </c>
      <c r="D79" t="s">
        <v>2715</v>
      </c>
      <c r="F79" t="s">
        <v>763</v>
      </c>
      <c r="G79" t="s">
        <v>2973</v>
      </c>
      <c r="H79" t="s">
        <v>198</v>
      </c>
      <c r="K79" t="s">
        <v>2974</v>
      </c>
      <c r="L79">
        <v>0.26400000000000001</v>
      </c>
      <c r="M79" s="12">
        <v>40794</v>
      </c>
      <c r="N79">
        <v>9</v>
      </c>
      <c r="O79" t="s">
        <v>60</v>
      </c>
      <c r="P79">
        <v>2011</v>
      </c>
      <c r="Q79">
        <v>0.1163</v>
      </c>
      <c r="R79" s="10"/>
      <c r="S79" s="11">
        <v>0.1163</v>
      </c>
      <c r="T79" s="8"/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2:52">
      <c r="B80" t="s">
        <v>2975</v>
      </c>
      <c r="C80">
        <v>24895253</v>
      </c>
      <c r="D80" t="s">
        <v>2715</v>
      </c>
      <c r="F80" t="s">
        <v>763</v>
      </c>
      <c r="G80" t="s">
        <v>2976</v>
      </c>
      <c r="H80" t="s">
        <v>65</v>
      </c>
      <c r="K80" t="s">
        <v>2977</v>
      </c>
      <c r="L80">
        <v>0.9</v>
      </c>
      <c r="M80" s="12">
        <v>40026</v>
      </c>
      <c r="N80">
        <v>8</v>
      </c>
      <c r="O80" t="s">
        <v>60</v>
      </c>
      <c r="P80">
        <v>2009</v>
      </c>
      <c r="Q80">
        <v>0.1163</v>
      </c>
      <c r="R80" s="10"/>
      <c r="S80" s="11">
        <v>0.1163</v>
      </c>
      <c r="T80" s="8"/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2:52">
      <c r="B81" t="s">
        <v>2978</v>
      </c>
      <c r="C81">
        <v>24895253</v>
      </c>
      <c r="D81" t="s">
        <v>2715</v>
      </c>
      <c r="F81" t="s">
        <v>763</v>
      </c>
      <c r="G81" t="s">
        <v>2979</v>
      </c>
      <c r="H81" t="s">
        <v>198</v>
      </c>
      <c r="K81" t="s">
        <v>2980</v>
      </c>
      <c r="L81">
        <v>1.52</v>
      </c>
      <c r="M81" s="12">
        <v>40026</v>
      </c>
      <c r="N81">
        <v>8</v>
      </c>
      <c r="O81" t="s">
        <v>60</v>
      </c>
      <c r="P81">
        <v>2009</v>
      </c>
      <c r="Q81">
        <v>0.1163</v>
      </c>
      <c r="R81" s="10"/>
      <c r="S81" s="11">
        <v>0.1163</v>
      </c>
      <c r="T81" s="8"/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2:52">
      <c r="B82" t="s">
        <v>2981</v>
      </c>
      <c r="C82">
        <v>24895253</v>
      </c>
      <c r="D82" t="s">
        <v>2715</v>
      </c>
      <c r="F82" t="s">
        <v>763</v>
      </c>
      <c r="G82" t="s">
        <v>2982</v>
      </c>
      <c r="H82" t="s">
        <v>98</v>
      </c>
      <c r="K82" t="s">
        <v>2983</v>
      </c>
      <c r="L82">
        <v>0.45</v>
      </c>
      <c r="M82" s="12">
        <v>40026</v>
      </c>
      <c r="N82">
        <v>8</v>
      </c>
      <c r="O82" t="s">
        <v>60</v>
      </c>
      <c r="P82">
        <v>2009</v>
      </c>
      <c r="Q82">
        <v>0.1163</v>
      </c>
      <c r="R82" s="10"/>
      <c r="S82" s="11">
        <v>0.1163</v>
      </c>
      <c r="T82" s="8"/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2:52">
      <c r="C83" t="s">
        <v>58</v>
      </c>
      <c r="D83" t="s">
        <v>2715</v>
      </c>
      <c r="F83" t="s">
        <v>2984</v>
      </c>
      <c r="G83" t="s">
        <v>2985</v>
      </c>
      <c r="H83" t="s">
        <v>176</v>
      </c>
      <c r="K83" t="s">
        <v>2986</v>
      </c>
      <c r="L83">
        <v>0.26400000000000001</v>
      </c>
      <c r="M83" s="12">
        <v>40634</v>
      </c>
      <c r="N83">
        <v>4</v>
      </c>
      <c r="O83" t="s">
        <v>57</v>
      </c>
      <c r="P83">
        <v>2011</v>
      </c>
      <c r="Q83">
        <v>0.1163</v>
      </c>
      <c r="R83" s="10"/>
      <c r="S83" s="11">
        <v>0.1163</v>
      </c>
      <c r="T83" s="8"/>
      <c r="U83">
        <v>5.3999999999999999E-2</v>
      </c>
      <c r="V83">
        <v>5.2999999999999999E-2</v>
      </c>
      <c r="W83">
        <v>0.14500000000000002</v>
      </c>
      <c r="X83">
        <v>0.11599999999999999</v>
      </c>
      <c r="Y83">
        <v>7.2000000000000008E-2</v>
      </c>
      <c r="Z83">
        <v>1.8000000000000016E-2</v>
      </c>
      <c r="AA83">
        <v>6.0000000000000053E-3</v>
      </c>
      <c r="AB83">
        <v>4.9999999999999489E-3</v>
      </c>
      <c r="AC83">
        <v>3.0000000000000027E-3</v>
      </c>
      <c r="AD83">
        <v>8.0000000000000071E-3</v>
      </c>
      <c r="AE83">
        <v>2.200000000000002E-2</v>
      </c>
      <c r="AF83">
        <v>8.1999999999999962E-2</v>
      </c>
      <c r="AG83">
        <v>0.10100000000000001</v>
      </c>
      <c r="AH83">
        <v>9.8000000000000004E-2</v>
      </c>
      <c r="AI83">
        <v>0.12</v>
      </c>
      <c r="AJ83">
        <v>0.13</v>
      </c>
      <c r="AK83">
        <v>3.9E-2</v>
      </c>
      <c r="AL83">
        <v>1.0999999999999999E-2</v>
      </c>
      <c r="AM83">
        <v>1.7000000000000001E-2</v>
      </c>
      <c r="AN83">
        <v>1.0999999999999999E-2</v>
      </c>
      <c r="AO83">
        <v>8.0000000000000002E-3</v>
      </c>
      <c r="AP83">
        <v>6.0000000000000001E-3</v>
      </c>
      <c r="AQ83">
        <v>8.0000000000000002E-3</v>
      </c>
      <c r="AR83">
        <v>1.6E-2</v>
      </c>
      <c r="AS83">
        <v>3.5999999999999997E-2</v>
      </c>
      <c r="AT83">
        <v>7.0999999999999994E-2</v>
      </c>
      <c r="AU83">
        <v>7.0000000000000007E-2</v>
      </c>
      <c r="AV83">
        <v>4.1000000000000002E-2</v>
      </c>
      <c r="AW83">
        <v>0.111</v>
      </c>
      <c r="AX83">
        <v>3.5000000000000003E-2</v>
      </c>
      <c r="AY83">
        <v>8.0000000000000002E-3</v>
      </c>
      <c r="AZ83">
        <v>8.0000000000000002E-3</v>
      </c>
    </row>
    <row r="84" spans="2:52">
      <c r="C84" t="s">
        <v>58</v>
      </c>
      <c r="D84" t="s">
        <v>2715</v>
      </c>
      <c r="F84" t="s">
        <v>2984</v>
      </c>
      <c r="G84" t="s">
        <v>2987</v>
      </c>
      <c r="H84" t="s">
        <v>176</v>
      </c>
      <c r="K84" t="s">
        <v>2988</v>
      </c>
      <c r="L84">
        <v>0.15</v>
      </c>
      <c r="M84" s="12">
        <v>40634</v>
      </c>
      <c r="N84">
        <v>4</v>
      </c>
      <c r="O84" t="s">
        <v>57</v>
      </c>
      <c r="P84">
        <v>2011</v>
      </c>
      <c r="Q84">
        <v>0.1163</v>
      </c>
      <c r="R84" s="10"/>
      <c r="S84" s="11">
        <v>0.1163</v>
      </c>
      <c r="T84" s="8"/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2:52">
      <c r="C85" t="s">
        <v>58</v>
      </c>
      <c r="D85" t="s">
        <v>2715</v>
      </c>
      <c r="F85" t="s">
        <v>2989</v>
      </c>
      <c r="G85" t="s">
        <v>2990</v>
      </c>
      <c r="H85" t="s">
        <v>1658</v>
      </c>
      <c r="K85" t="s">
        <v>2991</v>
      </c>
      <c r="L85">
        <v>0.6</v>
      </c>
      <c r="M85" s="12">
        <v>43347</v>
      </c>
      <c r="N85">
        <v>9</v>
      </c>
      <c r="O85" t="s">
        <v>60</v>
      </c>
      <c r="P85">
        <v>2018</v>
      </c>
      <c r="Q85">
        <v>0.1163</v>
      </c>
      <c r="R85" s="10"/>
      <c r="S85" s="11">
        <v>0.1163</v>
      </c>
      <c r="T85" s="8"/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5.5E-2</v>
      </c>
      <c r="AO85">
        <v>6.0999999999999999E-2</v>
      </c>
      <c r="AP85">
        <v>0.08</v>
      </c>
      <c r="AQ85">
        <v>8.2000000000000003E-2</v>
      </c>
      <c r="AR85">
        <v>9.0999999999999998E-2</v>
      </c>
      <c r="AS85">
        <v>9.9000000000000005E-2</v>
      </c>
      <c r="AT85">
        <v>0.26500000000000001</v>
      </c>
      <c r="AU85">
        <v>0.24099999999999999</v>
      </c>
      <c r="AV85">
        <v>0.27</v>
      </c>
      <c r="AW85">
        <v>0.314</v>
      </c>
      <c r="AX85">
        <v>0.21299999999999999</v>
      </c>
      <c r="AY85">
        <v>9.5000000000000001E-2</v>
      </c>
      <c r="AZ85">
        <v>7.8E-2</v>
      </c>
    </row>
    <row r="86" spans="2:52">
      <c r="C86" t="s">
        <v>58</v>
      </c>
      <c r="D86" t="s">
        <v>2715</v>
      </c>
      <c r="F86" t="s">
        <v>2989</v>
      </c>
      <c r="G86" t="s">
        <v>2992</v>
      </c>
      <c r="H86" t="s">
        <v>1658</v>
      </c>
      <c r="K86" t="s">
        <v>2993</v>
      </c>
      <c r="L86">
        <v>0.4</v>
      </c>
      <c r="M86" s="12">
        <v>43476</v>
      </c>
      <c r="N86">
        <v>1</v>
      </c>
      <c r="O86" t="s">
        <v>67</v>
      </c>
      <c r="P86">
        <v>2019</v>
      </c>
      <c r="Q86">
        <v>0.1163</v>
      </c>
      <c r="R86" s="10"/>
      <c r="S86" s="11">
        <v>0.1163</v>
      </c>
      <c r="T86" s="8"/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S86">
        <v>0.21299999999999999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2:52">
      <c r="C87" t="s">
        <v>58</v>
      </c>
      <c r="D87" t="s">
        <v>2715</v>
      </c>
      <c r="F87" t="s">
        <v>2989</v>
      </c>
      <c r="G87" t="s">
        <v>2994</v>
      </c>
      <c r="H87" t="s">
        <v>1658</v>
      </c>
      <c r="K87" t="s">
        <v>2995</v>
      </c>
      <c r="L87">
        <v>0.26300000000000001</v>
      </c>
      <c r="M87" s="12">
        <v>43476</v>
      </c>
      <c r="N87">
        <v>1</v>
      </c>
      <c r="O87" t="s">
        <v>67</v>
      </c>
      <c r="P87">
        <v>2019</v>
      </c>
      <c r="Q87">
        <v>0.1163</v>
      </c>
      <c r="R87" s="10"/>
      <c r="S87" s="11">
        <v>0.1163</v>
      </c>
      <c r="T87" s="8"/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2:52">
      <c r="C88" t="s">
        <v>58</v>
      </c>
      <c r="D88" t="s">
        <v>2715</v>
      </c>
      <c r="F88" t="s">
        <v>2989</v>
      </c>
      <c r="G88" t="s">
        <v>2996</v>
      </c>
      <c r="H88" t="s">
        <v>141</v>
      </c>
      <c r="K88" t="s">
        <v>2997</v>
      </c>
      <c r="L88">
        <v>0.17499999999999999</v>
      </c>
      <c r="M88" s="12">
        <v>43476</v>
      </c>
      <c r="N88">
        <v>1</v>
      </c>
      <c r="O88" t="s">
        <v>67</v>
      </c>
      <c r="P88">
        <v>2019</v>
      </c>
      <c r="Q88">
        <v>0.1163</v>
      </c>
      <c r="R88" s="10"/>
      <c r="S88" s="11">
        <v>0.1163</v>
      </c>
      <c r="T88" s="8"/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S88">
        <v>5.6000000000000001E-2</v>
      </c>
      <c r="AT88">
        <v>7.0999999999999994E-2</v>
      </c>
      <c r="AU88">
        <v>5.8999999999999997E-2</v>
      </c>
      <c r="AV88">
        <v>7.0000000000000007E-2</v>
      </c>
      <c r="AW88">
        <v>8.3000000000000004E-2</v>
      </c>
      <c r="AX88">
        <v>6.7000000000000004E-2</v>
      </c>
      <c r="AY88">
        <v>4.1000000000000002E-2</v>
      </c>
      <c r="AZ88">
        <v>4.7E-2</v>
      </c>
    </row>
    <row r="89" spans="2:52">
      <c r="C89" t="s">
        <v>58</v>
      </c>
      <c r="D89" t="s">
        <v>2715</v>
      </c>
      <c r="F89" t="s">
        <v>2998</v>
      </c>
      <c r="G89" t="s">
        <v>2999</v>
      </c>
      <c r="H89" t="s">
        <v>176</v>
      </c>
      <c r="K89" t="s">
        <v>3000</v>
      </c>
      <c r="L89">
        <v>0.18</v>
      </c>
      <c r="M89" s="12">
        <v>40330</v>
      </c>
      <c r="N89">
        <v>6</v>
      </c>
      <c r="O89" t="s">
        <v>57</v>
      </c>
      <c r="P89">
        <v>2010</v>
      </c>
      <c r="Q89">
        <v>0.1163</v>
      </c>
      <c r="R89" s="10"/>
      <c r="S89" s="11">
        <v>0.1163</v>
      </c>
      <c r="T89" s="8"/>
      <c r="U89">
        <v>3.0000000000000001E-3</v>
      </c>
      <c r="V89">
        <v>5.9999999999999993E-3</v>
      </c>
      <c r="W89">
        <v>4.3999999999999997E-2</v>
      </c>
      <c r="X89">
        <v>1.2000000000000004E-2</v>
      </c>
      <c r="Y89">
        <v>3.0000000000000027E-3</v>
      </c>
      <c r="Z89">
        <v>1.0000000000000009E-3</v>
      </c>
      <c r="AA89">
        <v>1.0000000000000009E-3</v>
      </c>
      <c r="AB89">
        <v>9.9999999999998701E-4</v>
      </c>
      <c r="AC89">
        <v>0</v>
      </c>
      <c r="AD89">
        <v>1.0000000000000009E-3</v>
      </c>
      <c r="AE89">
        <v>2.0000000000000018E-3</v>
      </c>
      <c r="AF89">
        <v>8.0000000000000071E-3</v>
      </c>
      <c r="AG89">
        <v>1.7999999999999999E-2</v>
      </c>
      <c r="AH89">
        <v>1.2999999999999999E-2</v>
      </c>
      <c r="AI89">
        <v>2.7E-2</v>
      </c>
      <c r="AJ89">
        <v>3.1E-2</v>
      </c>
      <c r="AK89">
        <v>7.0000000000000001E-3</v>
      </c>
      <c r="AL89">
        <v>2E-3</v>
      </c>
      <c r="AM89">
        <v>6.0000000000000001E-3</v>
      </c>
      <c r="AN89">
        <v>4.0000000000000001E-3</v>
      </c>
      <c r="AO89">
        <v>1E-3</v>
      </c>
      <c r="AP89">
        <v>2E-3</v>
      </c>
      <c r="AQ89">
        <v>1E-3</v>
      </c>
      <c r="AR89">
        <v>4.0000000000000001E-3</v>
      </c>
      <c r="AS89">
        <v>1.2999999999999999E-2</v>
      </c>
      <c r="AT89">
        <v>2.1999999999999999E-2</v>
      </c>
      <c r="AU89">
        <v>1.4999999999999999E-2</v>
      </c>
      <c r="AV89">
        <v>8.9999999999999993E-3</v>
      </c>
      <c r="AW89">
        <v>2.1999999999999999E-2</v>
      </c>
      <c r="AX89">
        <v>1.2999999999999999E-2</v>
      </c>
      <c r="AY89">
        <v>0</v>
      </c>
      <c r="AZ89">
        <v>2E-3</v>
      </c>
    </row>
    <row r="90" spans="2:52">
      <c r="C90" t="s">
        <v>58</v>
      </c>
      <c r="D90" t="s">
        <v>2715</v>
      </c>
      <c r="F90" t="s">
        <v>3001</v>
      </c>
      <c r="G90" t="s">
        <v>3002</v>
      </c>
      <c r="H90" t="s">
        <v>176</v>
      </c>
      <c r="K90" t="s">
        <v>3003</v>
      </c>
      <c r="L90">
        <v>0.09</v>
      </c>
      <c r="M90" s="12">
        <v>41928</v>
      </c>
      <c r="N90">
        <v>10</v>
      </c>
      <c r="O90" t="s">
        <v>71</v>
      </c>
      <c r="P90">
        <v>2014</v>
      </c>
      <c r="Q90">
        <v>0.19389999999999999</v>
      </c>
      <c r="R90" s="10"/>
      <c r="S90" s="11">
        <v>0.19389999999999999</v>
      </c>
      <c r="T90" s="8"/>
      <c r="U90">
        <v>0</v>
      </c>
      <c r="V90">
        <v>0</v>
      </c>
      <c r="W90">
        <v>0.104</v>
      </c>
      <c r="X90">
        <v>8.3000000000000004E-2</v>
      </c>
      <c r="Y90">
        <v>6.0000000000000053E-3</v>
      </c>
      <c r="Z90">
        <v>2.0000000000000018E-3</v>
      </c>
      <c r="AA90">
        <v>0</v>
      </c>
      <c r="AB90">
        <v>0</v>
      </c>
      <c r="AC90">
        <v>5.0000000000000044E-3</v>
      </c>
      <c r="AD90">
        <v>3.0000000000000027E-3</v>
      </c>
      <c r="AE90">
        <v>7.9999999999999793E-3</v>
      </c>
      <c r="AF90">
        <v>1.9000000000000017E-2</v>
      </c>
      <c r="AG90">
        <v>2.1999999999999999E-2</v>
      </c>
      <c r="AH90">
        <v>1.4999999999999999E-2</v>
      </c>
      <c r="AI90">
        <v>3.5000000000000003E-2</v>
      </c>
      <c r="AJ90">
        <v>3.4000000000000002E-2</v>
      </c>
      <c r="AK90">
        <v>6.0000000000000001E-3</v>
      </c>
      <c r="AL90">
        <v>1E-3</v>
      </c>
      <c r="AM90">
        <v>3.0000000000000001E-3</v>
      </c>
      <c r="AN90">
        <v>1.6E-2</v>
      </c>
      <c r="AO90">
        <v>0</v>
      </c>
      <c r="AP90">
        <v>2E-3</v>
      </c>
      <c r="AQ90">
        <v>1E-3</v>
      </c>
      <c r="AR90">
        <v>4.0000000000000001E-3</v>
      </c>
      <c r="AS90">
        <v>0.01</v>
      </c>
      <c r="AT90">
        <v>2.5999999999999999E-2</v>
      </c>
      <c r="AU90">
        <v>0</v>
      </c>
      <c r="AV90">
        <v>0</v>
      </c>
      <c r="AW90">
        <v>0</v>
      </c>
      <c r="AX90">
        <v>0</v>
      </c>
      <c r="AY90">
        <v>3.0000000000000001E-3</v>
      </c>
      <c r="AZ90">
        <v>3.0000000000000001E-3</v>
      </c>
    </row>
    <row r="91" spans="2:52">
      <c r="C91" t="s">
        <v>58</v>
      </c>
      <c r="D91" t="s">
        <v>2715</v>
      </c>
      <c r="F91" t="s">
        <v>3001</v>
      </c>
      <c r="G91" t="s">
        <v>3004</v>
      </c>
      <c r="H91" t="s">
        <v>176</v>
      </c>
      <c r="K91" t="s">
        <v>3005</v>
      </c>
      <c r="L91">
        <v>0.19</v>
      </c>
      <c r="M91" s="12">
        <v>42649</v>
      </c>
      <c r="N91">
        <v>10</v>
      </c>
      <c r="O91" t="s">
        <v>71</v>
      </c>
      <c r="P91">
        <v>2016</v>
      </c>
      <c r="Q91">
        <v>0.17449999999999999</v>
      </c>
      <c r="R91" s="10">
        <v>0.05</v>
      </c>
      <c r="S91" s="11">
        <v>0.183225</v>
      </c>
      <c r="T91" s="8">
        <v>42681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4.3999999999999997E-2</v>
      </c>
      <c r="AH91">
        <v>5.3999999999999999E-2</v>
      </c>
      <c r="AI91">
        <v>0.10100000000000001</v>
      </c>
      <c r="AJ91">
        <v>0.11</v>
      </c>
      <c r="AK91">
        <v>1.2E-2</v>
      </c>
      <c r="AL91">
        <v>1E-3</v>
      </c>
      <c r="AM91">
        <v>2.4E-2</v>
      </c>
      <c r="AN91">
        <v>0</v>
      </c>
      <c r="AO91">
        <v>0</v>
      </c>
      <c r="AP91">
        <v>0</v>
      </c>
      <c r="AQ91">
        <v>0</v>
      </c>
      <c r="AR91">
        <v>1.2E-2</v>
      </c>
      <c r="AS91">
        <v>1.2999999999999999E-2</v>
      </c>
      <c r="AT91">
        <v>0</v>
      </c>
      <c r="AU91">
        <v>4.4999999999999998E-2</v>
      </c>
      <c r="AV91">
        <v>3.4000000000000002E-2</v>
      </c>
      <c r="AW91">
        <v>0.113</v>
      </c>
      <c r="AX91">
        <v>9.7000000000000003E-2</v>
      </c>
      <c r="AY91">
        <v>1E-3</v>
      </c>
      <c r="AZ91">
        <v>0</v>
      </c>
    </row>
    <row r="92" spans="2:52">
      <c r="C92" t="s">
        <v>58</v>
      </c>
      <c r="D92" t="s">
        <v>2715</v>
      </c>
      <c r="F92" t="s">
        <v>664</v>
      </c>
      <c r="G92" t="s">
        <v>3006</v>
      </c>
      <c r="H92" t="s">
        <v>198</v>
      </c>
      <c r="K92" t="s">
        <v>3007</v>
      </c>
      <c r="L92">
        <v>7.5</v>
      </c>
      <c r="M92" s="12">
        <v>40452</v>
      </c>
      <c r="N92">
        <v>10</v>
      </c>
      <c r="O92" t="s">
        <v>71</v>
      </c>
      <c r="P92">
        <v>2010</v>
      </c>
      <c r="Q92">
        <v>0.1163</v>
      </c>
      <c r="R92" s="10"/>
      <c r="S92" s="11">
        <v>0.1163</v>
      </c>
      <c r="T92" s="8"/>
      <c r="U92">
        <v>0.85499999999999998</v>
      </c>
      <c r="V92">
        <v>1.5950000000000002</v>
      </c>
      <c r="W92">
        <v>3.7960000000000003</v>
      </c>
      <c r="X92">
        <v>2.1039999999999992</v>
      </c>
      <c r="Y92">
        <v>0.99900000000000055</v>
      </c>
      <c r="Z92">
        <v>0.6039999999999992</v>
      </c>
      <c r="AA92">
        <v>0.54199999999999982</v>
      </c>
      <c r="AB92">
        <v>0.47300000000000075</v>
      </c>
      <c r="AC92">
        <v>0.42999999999999972</v>
      </c>
      <c r="AD92">
        <v>0.5129999999999999</v>
      </c>
      <c r="AE92">
        <v>0.98200000000000109</v>
      </c>
      <c r="AF92">
        <v>1.2999999999999989</v>
      </c>
      <c r="AG92">
        <v>1.181</v>
      </c>
      <c r="AH92">
        <v>1.0449999999999999</v>
      </c>
      <c r="AI92">
        <v>2.2749999999999999</v>
      </c>
      <c r="AJ92">
        <v>2.169</v>
      </c>
      <c r="AK92">
        <v>0.72499999999999998</v>
      </c>
      <c r="AL92">
        <v>0.53800000000000003</v>
      </c>
      <c r="AM92">
        <v>0.622</v>
      </c>
      <c r="AN92">
        <v>0.72399999999999998</v>
      </c>
      <c r="AO92">
        <v>0.63200000000000001</v>
      </c>
      <c r="AP92">
        <v>0.95800000000000007</v>
      </c>
      <c r="AQ92">
        <v>1.0129999999999999</v>
      </c>
      <c r="AR92">
        <v>0.98499999999999999</v>
      </c>
      <c r="AS92">
        <v>1.266</v>
      </c>
      <c r="AT92">
        <v>1.855</v>
      </c>
      <c r="AU92">
        <v>1.3280000000000001</v>
      </c>
      <c r="AV92">
        <v>1.0029999999999999</v>
      </c>
      <c r="AW92">
        <v>2.4319999999999999</v>
      </c>
      <c r="AX92">
        <v>2.153</v>
      </c>
      <c r="AY92">
        <v>0.8</v>
      </c>
      <c r="AZ92">
        <v>0.56200000000000006</v>
      </c>
    </row>
    <row r="93" spans="2:52">
      <c r="C93" t="s">
        <v>58</v>
      </c>
      <c r="D93" t="s">
        <v>2715</v>
      </c>
      <c r="F93" t="s">
        <v>3008</v>
      </c>
      <c r="G93" t="s">
        <v>3009</v>
      </c>
      <c r="H93" t="s">
        <v>233</v>
      </c>
      <c r="K93" t="s">
        <v>3010</v>
      </c>
      <c r="L93">
        <v>0.999</v>
      </c>
      <c r="M93" s="12">
        <v>41944</v>
      </c>
      <c r="N93">
        <v>11</v>
      </c>
      <c r="O93" t="s">
        <v>71</v>
      </c>
      <c r="P93">
        <v>2014</v>
      </c>
      <c r="Q93">
        <v>0.15509999999999999</v>
      </c>
      <c r="R93" s="10"/>
      <c r="S93" s="11">
        <v>0.15509999999999999</v>
      </c>
      <c r="T93" s="8"/>
      <c r="U93">
        <v>0.16500000000000001</v>
      </c>
      <c r="V93">
        <v>0.35</v>
      </c>
      <c r="W93">
        <v>0.69499999999999995</v>
      </c>
      <c r="X93">
        <v>0.66999999999999993</v>
      </c>
      <c r="Y93">
        <v>0.64900000000000002</v>
      </c>
      <c r="Z93">
        <v>0.34200000000000008</v>
      </c>
      <c r="AA93">
        <v>0.47500000000000009</v>
      </c>
      <c r="AB93">
        <v>0.18799999999999972</v>
      </c>
      <c r="AC93">
        <v>0.22500000000000009</v>
      </c>
      <c r="AD93">
        <v>0.28299999999999992</v>
      </c>
      <c r="AE93">
        <v>0.64900000000000002</v>
      </c>
      <c r="AF93">
        <v>0.62100000000000044</v>
      </c>
      <c r="AG93">
        <v>0.55800000000000005</v>
      </c>
      <c r="AH93">
        <v>0.29899999999999999</v>
      </c>
      <c r="AI93">
        <v>0.47399999999999998</v>
      </c>
      <c r="AJ93">
        <v>0.71299999999999997</v>
      </c>
      <c r="AK93">
        <v>0.56200000000000006</v>
      </c>
      <c r="AL93">
        <v>0.26600000000000001</v>
      </c>
      <c r="AM93">
        <v>0.14899999999999999</v>
      </c>
      <c r="AN93">
        <v>6.3E-2</v>
      </c>
      <c r="AO93">
        <v>0.01</v>
      </c>
      <c r="AP93">
        <v>6.4000000000000001E-2</v>
      </c>
      <c r="AQ93">
        <v>0.16200000000000001</v>
      </c>
      <c r="AR93">
        <v>0.161</v>
      </c>
      <c r="AS93">
        <v>0.11600000000000001</v>
      </c>
      <c r="AT93">
        <v>0.16300000000000001</v>
      </c>
      <c r="AU93">
        <v>0.53300000000000003</v>
      </c>
      <c r="AV93">
        <v>0.70599999999999996</v>
      </c>
      <c r="AW93">
        <v>0.67600000000000005</v>
      </c>
      <c r="AX93">
        <v>0.44800000000000001</v>
      </c>
      <c r="AY93">
        <v>0.20499999999999999</v>
      </c>
      <c r="AZ93">
        <v>0.20699999999999999</v>
      </c>
    </row>
    <row r="94" spans="2:52">
      <c r="C94" t="s">
        <v>58</v>
      </c>
      <c r="D94" t="s">
        <v>2715</v>
      </c>
      <c r="F94" t="s">
        <v>3011</v>
      </c>
      <c r="G94" t="s">
        <v>3012</v>
      </c>
      <c r="H94" t="s">
        <v>233</v>
      </c>
      <c r="K94" t="s">
        <v>3013</v>
      </c>
      <c r="L94">
        <v>1.014</v>
      </c>
      <c r="M94" s="12">
        <v>41030</v>
      </c>
      <c r="N94">
        <v>5</v>
      </c>
      <c r="O94" t="s">
        <v>57</v>
      </c>
      <c r="P94">
        <v>2012</v>
      </c>
      <c r="Q94">
        <v>0.1163</v>
      </c>
      <c r="R94" s="10"/>
      <c r="S94" s="11">
        <v>0.1163</v>
      </c>
      <c r="T94" s="8"/>
      <c r="U94">
        <v>5.8999999999999997E-2</v>
      </c>
      <c r="V94">
        <v>0.32300000000000001</v>
      </c>
      <c r="W94">
        <v>0.63200000000000001</v>
      </c>
      <c r="X94">
        <v>0.51400000000000001</v>
      </c>
      <c r="Y94">
        <v>0.39500000000000002</v>
      </c>
      <c r="Z94">
        <v>0.14800000000000013</v>
      </c>
      <c r="AA94">
        <v>0.22799999999999976</v>
      </c>
      <c r="AB94">
        <v>2.3000000000000131E-2</v>
      </c>
      <c r="AC94">
        <v>6.6999999999999726E-2</v>
      </c>
      <c r="AD94">
        <v>0.1120000000000001</v>
      </c>
      <c r="AE94">
        <v>0.49500000000000011</v>
      </c>
      <c r="AF94">
        <v>0.49500000000000011</v>
      </c>
      <c r="AG94">
        <v>0.40699999999999997</v>
      </c>
      <c r="AH94">
        <v>0.19400000000000001</v>
      </c>
      <c r="AI94">
        <v>0.35199999999999998</v>
      </c>
      <c r="AJ94">
        <v>0.63500000000000001</v>
      </c>
      <c r="AK94">
        <v>0.312</v>
      </c>
      <c r="AL94">
        <v>0.111</v>
      </c>
      <c r="AM94">
        <v>1.7999999999999999E-2</v>
      </c>
      <c r="AN94">
        <v>1E-3</v>
      </c>
      <c r="AO94">
        <v>2E-3</v>
      </c>
      <c r="AP94">
        <v>1.4999999999999999E-2</v>
      </c>
      <c r="AQ94">
        <v>1.7000000000000001E-2</v>
      </c>
      <c r="AR94">
        <v>3.5000000000000003E-2</v>
      </c>
      <c r="AS94">
        <v>4.0000000000000001E-3</v>
      </c>
      <c r="AT94">
        <v>0.113</v>
      </c>
      <c r="AU94">
        <v>0.44800000000000001</v>
      </c>
      <c r="AV94">
        <v>0.56100000000000005</v>
      </c>
      <c r="AW94">
        <v>0.44600000000000001</v>
      </c>
      <c r="AX94">
        <v>0.19800000000000001</v>
      </c>
      <c r="AY94">
        <v>7.4999999999999997E-2</v>
      </c>
      <c r="AZ94">
        <v>6.5000000000000002E-2</v>
      </c>
    </row>
    <row r="95" spans="2:52">
      <c r="C95" t="s">
        <v>58</v>
      </c>
      <c r="D95" t="s">
        <v>2715</v>
      </c>
      <c r="F95" t="s">
        <v>3014</v>
      </c>
      <c r="G95" t="s">
        <v>3015</v>
      </c>
      <c r="H95" t="s">
        <v>136</v>
      </c>
      <c r="K95" t="s">
        <v>3016</v>
      </c>
      <c r="L95">
        <v>0.33</v>
      </c>
      <c r="M95" s="12">
        <v>40634</v>
      </c>
      <c r="N95">
        <v>4</v>
      </c>
      <c r="O95" t="s">
        <v>57</v>
      </c>
      <c r="P95">
        <v>2011</v>
      </c>
      <c r="Q95">
        <v>0.1163</v>
      </c>
      <c r="R95" s="10"/>
      <c r="S95" s="11">
        <v>0.1163</v>
      </c>
      <c r="T95" s="8"/>
      <c r="U95">
        <v>0</v>
      </c>
      <c r="V95">
        <v>5.5E-2</v>
      </c>
      <c r="W95">
        <v>0.22100000000000003</v>
      </c>
      <c r="X95">
        <v>0.16199999999999998</v>
      </c>
      <c r="Y95">
        <v>1.2000000000000011E-2</v>
      </c>
      <c r="Z95">
        <v>0</v>
      </c>
      <c r="AA95">
        <v>0</v>
      </c>
      <c r="AB95">
        <v>0</v>
      </c>
      <c r="AC95">
        <v>0</v>
      </c>
      <c r="AD95">
        <v>1.0000000000000009E-3</v>
      </c>
      <c r="AE95">
        <v>9.1000000000000025E-2</v>
      </c>
      <c r="AF95">
        <v>6.6999999999999948E-2</v>
      </c>
      <c r="AG95">
        <v>6.6000000000000003E-2</v>
      </c>
      <c r="AH95">
        <v>8.4000000000000005E-2</v>
      </c>
      <c r="AI95">
        <v>0.16800000000000001</v>
      </c>
      <c r="AJ95">
        <v>0.18099999999999999</v>
      </c>
      <c r="AK95">
        <v>6.4000000000000001E-2</v>
      </c>
      <c r="AL95">
        <v>9.8000000000000004E-2</v>
      </c>
      <c r="AM95">
        <v>0.21299999999999999</v>
      </c>
      <c r="AN95">
        <v>6.5000000000000002E-2</v>
      </c>
      <c r="AO95">
        <v>1.7000000000000001E-2</v>
      </c>
      <c r="AP95">
        <v>0.105</v>
      </c>
      <c r="AQ95">
        <v>0.13</v>
      </c>
      <c r="AR95">
        <v>8.3000000000000004E-2</v>
      </c>
      <c r="AS95">
        <v>0.11</v>
      </c>
      <c r="AT95">
        <v>0.17699999999999999</v>
      </c>
      <c r="AU95">
        <v>5.5E-2</v>
      </c>
      <c r="AV95">
        <v>7.0000000000000001E-3</v>
      </c>
      <c r="AW95">
        <v>0.16300000000000001</v>
      </c>
      <c r="AX95">
        <v>0.17199999999999999</v>
      </c>
      <c r="AY95">
        <v>1.4999999999999999E-2</v>
      </c>
      <c r="AZ95">
        <v>2E-3</v>
      </c>
    </row>
    <row r="96" spans="2:52">
      <c r="C96" t="s">
        <v>58</v>
      </c>
      <c r="D96" t="s">
        <v>2715</v>
      </c>
      <c r="F96" t="s">
        <v>3014</v>
      </c>
      <c r="G96" t="s">
        <v>3017</v>
      </c>
      <c r="H96" t="s">
        <v>101</v>
      </c>
      <c r="K96" t="s">
        <v>3018</v>
      </c>
      <c r="L96">
        <v>0.9</v>
      </c>
      <c r="M96" s="12">
        <v>41746</v>
      </c>
      <c r="N96">
        <v>4</v>
      </c>
      <c r="O96" t="s">
        <v>57</v>
      </c>
      <c r="P96">
        <v>2014</v>
      </c>
      <c r="Q96">
        <v>0.15509999999999999</v>
      </c>
      <c r="R96" s="10"/>
      <c r="S96" s="11">
        <v>0.15509999999999999</v>
      </c>
      <c r="T96" s="8"/>
      <c r="U96">
        <v>0.23</v>
      </c>
      <c r="V96">
        <v>0.26300000000000001</v>
      </c>
      <c r="W96">
        <v>0.47799999999999998</v>
      </c>
      <c r="X96">
        <v>0.33300000000000007</v>
      </c>
      <c r="Y96">
        <v>0.20399999999999996</v>
      </c>
      <c r="Z96">
        <v>0.13700000000000001</v>
      </c>
      <c r="AA96">
        <v>0.10999999999999988</v>
      </c>
      <c r="AB96">
        <v>0.1010000000000002</v>
      </c>
      <c r="AC96">
        <v>0.13300000000000001</v>
      </c>
      <c r="AD96">
        <v>0.16899999999999982</v>
      </c>
      <c r="AE96">
        <v>0.20000000000000018</v>
      </c>
      <c r="AF96">
        <v>0.29699999999999971</v>
      </c>
      <c r="AG96">
        <v>0.28100000000000003</v>
      </c>
      <c r="AH96">
        <v>0.21099999999999999</v>
      </c>
      <c r="AI96">
        <v>0.375</v>
      </c>
      <c r="AJ96">
        <v>0.34799999999999998</v>
      </c>
      <c r="AK96">
        <v>8.6999999999999994E-2</v>
      </c>
      <c r="AL96">
        <v>2.7E-2</v>
      </c>
      <c r="AM96">
        <v>0</v>
      </c>
      <c r="AN96">
        <v>7.2999999999999995E-2</v>
      </c>
      <c r="AO96">
        <v>0.14799999999999999</v>
      </c>
      <c r="AP96">
        <v>0.22700000000000001</v>
      </c>
      <c r="AQ96">
        <v>0.221</v>
      </c>
      <c r="AR96">
        <v>0.217</v>
      </c>
      <c r="AS96">
        <v>0.25600000000000001</v>
      </c>
      <c r="AT96">
        <v>0.34399999999999997</v>
      </c>
      <c r="AU96">
        <v>0.29199999999999998</v>
      </c>
      <c r="AV96">
        <v>0.22500000000000001</v>
      </c>
      <c r="AW96">
        <v>0.39600000000000002</v>
      </c>
      <c r="AX96">
        <v>0.311</v>
      </c>
      <c r="AY96">
        <v>0.14199999999999999</v>
      </c>
      <c r="AZ96">
        <v>0.107</v>
      </c>
    </row>
    <row r="97" spans="2:52">
      <c r="C97" t="s">
        <v>58</v>
      </c>
      <c r="D97" t="s">
        <v>2715</v>
      </c>
      <c r="F97" t="s">
        <v>3019</v>
      </c>
      <c r="G97" t="s">
        <v>3020</v>
      </c>
      <c r="H97" t="s">
        <v>172</v>
      </c>
      <c r="K97" t="s">
        <v>3021</v>
      </c>
      <c r="L97">
        <v>7.4999999999999997E-2</v>
      </c>
      <c r="M97" s="12">
        <v>42367</v>
      </c>
      <c r="N97">
        <v>29</v>
      </c>
      <c r="O97" t="s">
        <v>71</v>
      </c>
      <c r="P97">
        <v>2015</v>
      </c>
      <c r="Q97">
        <v>0.17449999999999999</v>
      </c>
      <c r="R97" s="10"/>
      <c r="S97" s="11">
        <v>0.17449999999999999</v>
      </c>
      <c r="T97" s="8"/>
      <c r="U97">
        <v>1.7000000000000001E-2</v>
      </c>
      <c r="V97">
        <v>1.7000000000000001E-2</v>
      </c>
      <c r="W97">
        <v>3.2000000000000001E-2</v>
      </c>
      <c r="X97">
        <v>1.3999999999999999E-2</v>
      </c>
      <c r="Y97">
        <v>1.1999999999999997E-2</v>
      </c>
      <c r="Z97">
        <v>7.0000000000000062E-3</v>
      </c>
      <c r="AA97">
        <v>3.9999999999999897E-3</v>
      </c>
      <c r="AB97">
        <v>5.0000000000000044E-3</v>
      </c>
      <c r="AC97">
        <v>1.0999999999999996E-2</v>
      </c>
      <c r="AD97">
        <v>2.1999999999999992E-2</v>
      </c>
      <c r="AE97">
        <v>1.8000000000000016E-2</v>
      </c>
      <c r="AF97">
        <v>1.6999999999999987E-2</v>
      </c>
      <c r="AG97">
        <v>1.4999999999999999E-2</v>
      </c>
      <c r="AH97">
        <v>1.4999999999999999E-2</v>
      </c>
      <c r="AI97">
        <v>2.8000000000000001E-2</v>
      </c>
      <c r="AJ97">
        <v>2.3E-2</v>
      </c>
      <c r="AK97">
        <v>8.9999999999999993E-3</v>
      </c>
      <c r="AL97">
        <v>7.0000000000000001E-3</v>
      </c>
      <c r="AM97">
        <v>2E-3</v>
      </c>
      <c r="AN97">
        <v>5.0000000000000001E-3</v>
      </c>
      <c r="AO97">
        <v>5.0000000000000001E-3</v>
      </c>
      <c r="AP97">
        <v>1.2E-2</v>
      </c>
      <c r="AQ97">
        <v>8.9999999999999993E-3</v>
      </c>
      <c r="AR97">
        <v>1.0999999999999999E-2</v>
      </c>
      <c r="AS97">
        <v>1.6E-2</v>
      </c>
      <c r="AT97">
        <v>2.1999999999999999E-2</v>
      </c>
      <c r="AU97">
        <v>2.4E-2</v>
      </c>
      <c r="AV97">
        <v>1.2999999999999999E-2</v>
      </c>
      <c r="AW97">
        <v>3.1E-2</v>
      </c>
      <c r="AX97">
        <v>2.4E-2</v>
      </c>
      <c r="AY97">
        <v>0.01</v>
      </c>
      <c r="AZ97">
        <v>8.9999999999999993E-3</v>
      </c>
    </row>
    <row r="98" spans="2:52">
      <c r="C98" t="s">
        <v>58</v>
      </c>
      <c r="D98" t="s">
        <v>2715</v>
      </c>
      <c r="F98" t="s">
        <v>3022</v>
      </c>
      <c r="G98" t="s">
        <v>3023</v>
      </c>
      <c r="H98" t="s">
        <v>176</v>
      </c>
      <c r="K98" t="s">
        <v>3024</v>
      </c>
      <c r="L98">
        <v>0.15</v>
      </c>
      <c r="M98" s="12">
        <v>41711</v>
      </c>
      <c r="N98">
        <v>3</v>
      </c>
      <c r="O98" t="s">
        <v>67</v>
      </c>
      <c r="P98">
        <v>2014</v>
      </c>
      <c r="Q98">
        <v>0.19389999999999999</v>
      </c>
      <c r="R98" s="10"/>
      <c r="S98" s="11">
        <v>0.19389999999999999</v>
      </c>
      <c r="T98" s="8"/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2:52">
      <c r="C99" t="s">
        <v>58</v>
      </c>
      <c r="D99" t="s">
        <v>2715</v>
      </c>
      <c r="F99" t="s">
        <v>3025</v>
      </c>
      <c r="G99" t="s">
        <v>3026</v>
      </c>
      <c r="H99" t="s">
        <v>62</v>
      </c>
      <c r="K99" t="s">
        <v>3027</v>
      </c>
      <c r="L99">
        <v>0.125</v>
      </c>
      <c r="M99" s="12">
        <v>40640</v>
      </c>
      <c r="N99">
        <v>4</v>
      </c>
      <c r="O99" t="s">
        <v>57</v>
      </c>
      <c r="P99">
        <v>2011</v>
      </c>
      <c r="Q99">
        <v>0.1163</v>
      </c>
      <c r="R99" s="10"/>
      <c r="S99" s="11">
        <v>0.1163</v>
      </c>
      <c r="T99" s="8"/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2:52">
      <c r="C100" t="s">
        <v>58</v>
      </c>
      <c r="D100" t="s">
        <v>2715</v>
      </c>
      <c r="F100" t="s">
        <v>3028</v>
      </c>
      <c r="G100" t="s">
        <v>2744</v>
      </c>
      <c r="H100" t="s">
        <v>62</v>
      </c>
      <c r="K100" t="s">
        <v>3029</v>
      </c>
      <c r="L100">
        <v>0.09</v>
      </c>
      <c r="M100" s="12">
        <v>42495</v>
      </c>
      <c r="N100">
        <v>5</v>
      </c>
      <c r="O100" t="s">
        <v>57</v>
      </c>
      <c r="P100">
        <v>2016</v>
      </c>
      <c r="Q100">
        <v>0.17449999999999999</v>
      </c>
      <c r="R100" s="10"/>
      <c r="S100" s="11">
        <v>0.17449999999999999</v>
      </c>
      <c r="T100" s="8"/>
      <c r="U100">
        <v>1.7000000000000001E-2</v>
      </c>
      <c r="V100">
        <v>2.5000000000000001E-2</v>
      </c>
      <c r="W100">
        <v>3.6999999999999998E-2</v>
      </c>
      <c r="X100">
        <v>2.8999999999999998E-2</v>
      </c>
      <c r="Y100">
        <v>2.8000000000000011E-2</v>
      </c>
      <c r="Z100">
        <v>2.1999999999999992E-2</v>
      </c>
      <c r="AA100">
        <v>1.8999999999999989E-2</v>
      </c>
      <c r="AB100">
        <v>1.7000000000000015E-2</v>
      </c>
      <c r="AC100">
        <v>2.4999999999999994E-2</v>
      </c>
      <c r="AD100">
        <v>2.4999999999999994E-2</v>
      </c>
      <c r="AE100">
        <v>2.200000000000002E-2</v>
      </c>
      <c r="AF100">
        <v>3.2999999999999974E-2</v>
      </c>
      <c r="AG100">
        <v>3.3000000000000002E-2</v>
      </c>
      <c r="AH100">
        <v>2.5999999999999999E-2</v>
      </c>
      <c r="AI100">
        <v>3.6999999999999998E-2</v>
      </c>
      <c r="AJ100">
        <v>4.2000000000000003E-2</v>
      </c>
      <c r="AK100">
        <v>3.5000000000000003E-2</v>
      </c>
      <c r="AL100">
        <v>2.8000000000000001E-2</v>
      </c>
      <c r="AM100">
        <v>3.1E-2</v>
      </c>
      <c r="AN100">
        <v>3.3000000000000002E-2</v>
      </c>
      <c r="AO100">
        <v>0.03</v>
      </c>
      <c r="AP100">
        <v>2.7E-2</v>
      </c>
      <c r="AQ100">
        <v>2.1999999999999999E-2</v>
      </c>
      <c r="AR100">
        <v>2.7E-2</v>
      </c>
      <c r="AS100">
        <v>3.6999999999999998E-2</v>
      </c>
      <c r="AT100">
        <v>0.03</v>
      </c>
      <c r="AU100">
        <v>2.7E-2</v>
      </c>
      <c r="AV100">
        <v>2.9000000000000001E-2</v>
      </c>
      <c r="AW100">
        <v>4.3999999999999997E-2</v>
      </c>
      <c r="AX100">
        <v>3.7999999999999999E-2</v>
      </c>
      <c r="AY100">
        <v>1.7999999999999999E-2</v>
      </c>
      <c r="AZ100">
        <v>2.7E-2</v>
      </c>
    </row>
    <row r="101" spans="2:52">
      <c r="C101" t="s">
        <v>58</v>
      </c>
      <c r="D101" t="s">
        <v>2715</v>
      </c>
      <c r="F101" t="s">
        <v>3030</v>
      </c>
      <c r="G101" t="s">
        <v>3031</v>
      </c>
      <c r="H101" t="s">
        <v>172</v>
      </c>
      <c r="K101" t="s">
        <v>3032</v>
      </c>
      <c r="L101">
        <v>0.4</v>
      </c>
      <c r="M101" s="12">
        <v>40969</v>
      </c>
      <c r="N101">
        <v>3</v>
      </c>
      <c r="O101" t="s">
        <v>67</v>
      </c>
      <c r="P101">
        <v>2012</v>
      </c>
      <c r="Q101">
        <v>0.1163</v>
      </c>
      <c r="R101" s="10"/>
      <c r="S101" s="11">
        <v>0.1163</v>
      </c>
      <c r="T101" s="8"/>
      <c r="U101">
        <v>9.4E-2</v>
      </c>
      <c r="V101">
        <v>0.11299999999999999</v>
      </c>
      <c r="W101">
        <v>0.19900000000000004</v>
      </c>
      <c r="X101">
        <v>0.10599999999999998</v>
      </c>
      <c r="Y101">
        <v>9.1999999999999971E-2</v>
      </c>
      <c r="Z101">
        <v>7.900000000000007E-2</v>
      </c>
      <c r="AA101">
        <v>6.0999999999999943E-2</v>
      </c>
      <c r="AB101">
        <v>4.0000000000000036E-2</v>
      </c>
      <c r="AC101">
        <v>5.9999999999999942E-2</v>
      </c>
      <c r="AD101">
        <v>7.7000000000000068E-2</v>
      </c>
      <c r="AE101">
        <v>8.7999999999999856E-2</v>
      </c>
      <c r="AF101">
        <v>9.3000000000000194E-2</v>
      </c>
      <c r="AG101">
        <v>9.2999999999999999E-2</v>
      </c>
      <c r="AH101">
        <v>8.5000000000000006E-2</v>
      </c>
      <c r="AI101">
        <v>0.155</v>
      </c>
      <c r="AJ101">
        <v>0.129</v>
      </c>
      <c r="AK101">
        <v>7.0999999999999994E-2</v>
      </c>
      <c r="AL101">
        <v>7.3999999999999996E-2</v>
      </c>
      <c r="AM101">
        <v>0.112</v>
      </c>
      <c r="AN101">
        <v>7.2999999999999995E-2</v>
      </c>
      <c r="AO101">
        <v>6.4000000000000001E-2</v>
      </c>
      <c r="AP101">
        <v>8.1000000000000003E-2</v>
      </c>
      <c r="AQ101">
        <v>0.08</v>
      </c>
      <c r="AR101">
        <v>8.6999999999999994E-2</v>
      </c>
      <c r="AS101">
        <v>0.10299999999999999</v>
      </c>
      <c r="AT101">
        <v>0.112</v>
      </c>
      <c r="AU101">
        <v>0.106</v>
      </c>
      <c r="AV101">
        <v>7.8E-2</v>
      </c>
      <c r="AW101">
        <v>0.19</v>
      </c>
      <c r="AX101">
        <v>0.14599999999999999</v>
      </c>
      <c r="AY101">
        <v>7.6999999999999999E-2</v>
      </c>
      <c r="AZ101">
        <v>7.0000000000000007E-2</v>
      </c>
    </row>
    <row r="102" spans="2:52">
      <c r="C102" t="s">
        <v>58</v>
      </c>
      <c r="D102" t="s">
        <v>2715</v>
      </c>
      <c r="F102" t="s">
        <v>3030</v>
      </c>
      <c r="G102" t="s">
        <v>3033</v>
      </c>
      <c r="H102" t="s">
        <v>172</v>
      </c>
      <c r="K102" t="s">
        <v>3034</v>
      </c>
      <c r="L102">
        <v>0.125</v>
      </c>
      <c r="M102" s="12">
        <v>42537</v>
      </c>
      <c r="N102">
        <v>6</v>
      </c>
      <c r="O102" t="s">
        <v>57</v>
      </c>
      <c r="P102">
        <v>2016</v>
      </c>
      <c r="Q102">
        <v>0.1163</v>
      </c>
      <c r="R102" s="10"/>
      <c r="S102" s="11">
        <v>0.1163</v>
      </c>
      <c r="T102" s="8"/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2:52">
      <c r="C103" t="s">
        <v>58</v>
      </c>
      <c r="D103" t="s">
        <v>2715</v>
      </c>
      <c r="F103" t="s">
        <v>3030</v>
      </c>
      <c r="G103" t="s">
        <v>3035</v>
      </c>
      <c r="H103" t="s">
        <v>172</v>
      </c>
      <c r="K103" t="s">
        <v>3036</v>
      </c>
      <c r="L103">
        <v>7.4999999999999997E-2</v>
      </c>
      <c r="M103" s="12">
        <v>42537</v>
      </c>
      <c r="N103">
        <v>6</v>
      </c>
      <c r="O103" t="s">
        <v>57</v>
      </c>
      <c r="P103">
        <v>2016</v>
      </c>
      <c r="Q103">
        <v>0.1163</v>
      </c>
      <c r="R103" s="10"/>
      <c r="S103" s="11">
        <v>0.1163</v>
      </c>
      <c r="T103" s="8"/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2:52">
      <c r="C104" t="s">
        <v>58</v>
      </c>
      <c r="D104" t="s">
        <v>2715</v>
      </c>
      <c r="F104" t="s">
        <v>3030</v>
      </c>
      <c r="G104" t="s">
        <v>3037</v>
      </c>
      <c r="H104" t="s">
        <v>172</v>
      </c>
      <c r="K104" t="s">
        <v>3038</v>
      </c>
      <c r="L104">
        <v>7.4999999999999997E-2</v>
      </c>
      <c r="M104" s="12">
        <v>42565</v>
      </c>
      <c r="N104">
        <v>7</v>
      </c>
      <c r="O104" t="s">
        <v>60</v>
      </c>
      <c r="P104">
        <v>2016</v>
      </c>
      <c r="Q104">
        <v>0.17449999999999999</v>
      </c>
      <c r="R104" s="10"/>
      <c r="S104" s="11">
        <v>0.17449999999999999</v>
      </c>
      <c r="T104" s="8"/>
      <c r="U104">
        <v>5.0000000000000001E-3</v>
      </c>
      <c r="V104">
        <v>8.0000000000000002E-3</v>
      </c>
      <c r="W104">
        <v>1.2999999999999999E-2</v>
      </c>
      <c r="X104">
        <v>6.0000000000000019E-3</v>
      </c>
      <c r="Y104">
        <v>4.9999999999999975E-3</v>
      </c>
      <c r="Z104">
        <v>4.0000000000000036E-3</v>
      </c>
      <c r="AA104">
        <v>1.9999999999999948E-3</v>
      </c>
      <c r="AB104">
        <v>1.0000000000000009E-3</v>
      </c>
      <c r="AC104">
        <v>0</v>
      </c>
      <c r="AD104">
        <v>5.0000000000000044E-3</v>
      </c>
      <c r="AE104">
        <v>3.9999999999999966E-3</v>
      </c>
      <c r="AF104">
        <v>8.0000000000000002E-3</v>
      </c>
      <c r="AG104">
        <v>8.0000000000000002E-3</v>
      </c>
      <c r="AH104">
        <v>8.0000000000000002E-3</v>
      </c>
      <c r="AI104">
        <v>1.4E-2</v>
      </c>
      <c r="AJ104">
        <v>1.2E-2</v>
      </c>
      <c r="AK104">
        <v>7.0000000000000001E-3</v>
      </c>
      <c r="AL104">
        <v>8.9999999999999993E-3</v>
      </c>
      <c r="AM104">
        <v>1.7000000000000001E-2</v>
      </c>
      <c r="AN104">
        <v>0.01</v>
      </c>
      <c r="AO104">
        <v>7.0000000000000001E-3</v>
      </c>
      <c r="AP104">
        <v>8.9999999999999993E-3</v>
      </c>
      <c r="AQ104">
        <v>8.9999999999999993E-3</v>
      </c>
      <c r="AR104">
        <v>1.2E-2</v>
      </c>
      <c r="AS104">
        <v>1.4E-2</v>
      </c>
      <c r="AT104">
        <v>1.4E-2</v>
      </c>
      <c r="AU104">
        <v>1.4E-2</v>
      </c>
      <c r="AV104">
        <v>1.2E-2</v>
      </c>
      <c r="AW104">
        <v>2.1000000000000001E-2</v>
      </c>
      <c r="AX104">
        <v>0.02</v>
      </c>
      <c r="AY104">
        <v>1.0999999999999999E-2</v>
      </c>
      <c r="AZ104">
        <v>0.01</v>
      </c>
    </row>
    <row r="105" spans="2:52">
      <c r="B105" t="s">
        <v>3039</v>
      </c>
      <c r="C105">
        <v>2773704579</v>
      </c>
      <c r="D105" t="s">
        <v>2715</v>
      </c>
      <c r="F105" t="s">
        <v>3040</v>
      </c>
      <c r="G105" t="s">
        <v>3041</v>
      </c>
      <c r="H105" t="s">
        <v>65</v>
      </c>
      <c r="K105" t="s">
        <v>3042</v>
      </c>
      <c r="L105">
        <v>1.27</v>
      </c>
      <c r="M105" s="12">
        <v>40026</v>
      </c>
      <c r="N105">
        <v>8</v>
      </c>
      <c r="O105" t="s">
        <v>60</v>
      </c>
      <c r="P105">
        <v>2009</v>
      </c>
      <c r="Q105">
        <v>0.1163</v>
      </c>
      <c r="R105" s="10"/>
      <c r="S105" s="11">
        <v>0.1163</v>
      </c>
      <c r="T105" s="8"/>
      <c r="U105">
        <v>2.1999999999999999E-2</v>
      </c>
      <c r="V105">
        <v>0.13900000000000001</v>
      </c>
      <c r="W105">
        <v>0.26500000000000001</v>
      </c>
      <c r="X105">
        <v>0.27899999999999997</v>
      </c>
      <c r="Y105">
        <v>0.38700000000000012</v>
      </c>
      <c r="Z105">
        <v>0.26800000000000002</v>
      </c>
      <c r="AA105">
        <v>0.1359999999999999</v>
      </c>
      <c r="AB105">
        <v>7.8999999999999959E-2</v>
      </c>
      <c r="AC105">
        <v>8.0999999999999961E-2</v>
      </c>
      <c r="AD105">
        <v>7.1000000000000174E-2</v>
      </c>
      <c r="AE105">
        <v>0.1339999999999999</v>
      </c>
      <c r="AF105">
        <v>0.20399999999999996</v>
      </c>
      <c r="AG105">
        <v>0.13100000000000001</v>
      </c>
      <c r="AH105">
        <v>8.7999999999999995E-2</v>
      </c>
      <c r="AI105">
        <v>0.22800000000000001</v>
      </c>
      <c r="AJ105">
        <v>0.50900000000000001</v>
      </c>
      <c r="AK105">
        <v>0.17699999999999999</v>
      </c>
      <c r="AL105">
        <v>0.192</v>
      </c>
      <c r="AM105">
        <v>0.371</v>
      </c>
      <c r="AN105">
        <v>0.317</v>
      </c>
      <c r="AO105">
        <v>0.157</v>
      </c>
      <c r="AP105">
        <v>0.13500000000000001</v>
      </c>
      <c r="AQ105">
        <v>0.08</v>
      </c>
      <c r="AR105">
        <v>8.7999999999999995E-2</v>
      </c>
      <c r="AS105">
        <v>6.2E-2</v>
      </c>
      <c r="AT105">
        <v>7.8E-2</v>
      </c>
      <c r="AU105">
        <v>0.29199999999999998</v>
      </c>
      <c r="AV105">
        <v>0.46100000000000002</v>
      </c>
      <c r="AW105">
        <v>0.58899999999999997</v>
      </c>
      <c r="AX105">
        <v>0.29899999999999999</v>
      </c>
      <c r="AY105">
        <v>0.125</v>
      </c>
      <c r="AZ105">
        <v>9.2999999999999999E-2</v>
      </c>
    </row>
    <row r="106" spans="2:52">
      <c r="B106" t="s">
        <v>3043</v>
      </c>
      <c r="C106">
        <v>2773704579</v>
      </c>
      <c r="D106" t="s">
        <v>2715</v>
      </c>
      <c r="F106" t="s">
        <v>3040</v>
      </c>
      <c r="G106" t="s">
        <v>3044</v>
      </c>
      <c r="H106" t="s">
        <v>65</v>
      </c>
      <c r="K106" t="s">
        <v>3045</v>
      </c>
      <c r="L106">
        <v>0.23200000000000001</v>
      </c>
      <c r="M106" s="12">
        <v>41459</v>
      </c>
      <c r="N106">
        <v>7</v>
      </c>
      <c r="O106" t="s">
        <v>60</v>
      </c>
      <c r="P106">
        <v>2013</v>
      </c>
      <c r="Q106">
        <v>0.15509999999999999</v>
      </c>
      <c r="R106" s="10"/>
      <c r="S106" s="11">
        <v>0.15509999999999999</v>
      </c>
      <c r="T106" s="8"/>
      <c r="U106">
        <v>1.7999999999999999E-2</v>
      </c>
      <c r="V106">
        <v>3.9000000000000007E-2</v>
      </c>
      <c r="W106">
        <v>8.0000000000000016E-2</v>
      </c>
      <c r="X106">
        <v>8.0999999999999989E-2</v>
      </c>
      <c r="Y106">
        <v>9.9000000000000005E-2</v>
      </c>
      <c r="Z106">
        <v>6.7000000000000004E-2</v>
      </c>
      <c r="AA106">
        <v>4.4999999999999984E-2</v>
      </c>
      <c r="AB106">
        <v>2.9000000000000026E-2</v>
      </c>
      <c r="AC106">
        <v>2.899999999999997E-2</v>
      </c>
      <c r="AD106">
        <v>2.5000000000000022E-2</v>
      </c>
      <c r="AE106">
        <v>4.7000000000000042E-2</v>
      </c>
      <c r="AF106">
        <v>6.3999999999999946E-2</v>
      </c>
      <c r="AG106">
        <v>4.4999999999999998E-2</v>
      </c>
      <c r="AH106">
        <v>3.2000000000000001E-2</v>
      </c>
      <c r="AI106">
        <v>5.8999999999999997E-2</v>
      </c>
      <c r="AJ106">
        <v>9.0999999999999998E-2</v>
      </c>
      <c r="AK106">
        <v>5.8000000000000003E-2</v>
      </c>
      <c r="AL106">
        <v>5.6000000000000001E-2</v>
      </c>
      <c r="AM106">
        <v>8.5000000000000006E-2</v>
      </c>
      <c r="AN106">
        <v>7.0999999999999994E-2</v>
      </c>
      <c r="AO106">
        <v>5.6000000000000001E-2</v>
      </c>
      <c r="AP106">
        <v>4.9000000000000002E-2</v>
      </c>
      <c r="AQ106">
        <v>3.1E-2</v>
      </c>
      <c r="AR106">
        <v>3.1E-2</v>
      </c>
      <c r="AS106">
        <v>2.1000000000000001E-2</v>
      </c>
      <c r="AT106">
        <v>0.03</v>
      </c>
      <c r="AU106">
        <v>7.6999999999999999E-2</v>
      </c>
      <c r="AV106">
        <v>9.8000000000000004E-2</v>
      </c>
      <c r="AW106">
        <v>9.7000000000000003E-2</v>
      </c>
      <c r="AX106">
        <v>7.5999999999999998E-2</v>
      </c>
      <c r="AY106">
        <v>4.7E-2</v>
      </c>
      <c r="AZ106">
        <v>3.6999999999999998E-2</v>
      </c>
    </row>
    <row r="107" spans="2:52">
      <c r="C107" t="s">
        <v>58</v>
      </c>
      <c r="D107" t="s">
        <v>2715</v>
      </c>
      <c r="F107" t="s">
        <v>3046</v>
      </c>
      <c r="G107" t="s">
        <v>3047</v>
      </c>
      <c r="H107" t="s">
        <v>198</v>
      </c>
      <c r="K107" t="s">
        <v>3048</v>
      </c>
      <c r="L107">
        <v>0.12</v>
      </c>
      <c r="M107" s="12">
        <v>42873</v>
      </c>
      <c r="N107">
        <v>5</v>
      </c>
      <c r="O107" t="s">
        <v>57</v>
      </c>
      <c r="P107">
        <v>2017</v>
      </c>
      <c r="Q107">
        <v>0.1163</v>
      </c>
      <c r="R107" s="10"/>
      <c r="S107" s="11">
        <v>0.1163</v>
      </c>
      <c r="T107" s="8"/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3.0000000000000001E-3</v>
      </c>
      <c r="AC107">
        <v>4.0000000000000001E-3</v>
      </c>
      <c r="AD107">
        <v>0</v>
      </c>
      <c r="AE107">
        <v>7.0000000000000001E-3</v>
      </c>
      <c r="AF107">
        <v>3.9999999999999983E-3</v>
      </c>
      <c r="AG107">
        <v>3.0000000000000001E-3</v>
      </c>
      <c r="AH107">
        <v>0.02</v>
      </c>
      <c r="AI107">
        <v>2.5999999999999999E-2</v>
      </c>
      <c r="AJ107">
        <v>0.02</v>
      </c>
      <c r="AK107">
        <v>1.9E-2</v>
      </c>
      <c r="AL107">
        <v>1.6E-2</v>
      </c>
      <c r="AM107">
        <v>1.4E-2</v>
      </c>
      <c r="AN107">
        <v>1.7000000000000001E-2</v>
      </c>
      <c r="AO107">
        <v>1.4999999999999999E-2</v>
      </c>
      <c r="AP107">
        <v>1.2999999999999999E-2</v>
      </c>
      <c r="AQ107">
        <v>0.02</v>
      </c>
      <c r="AR107">
        <v>1.7000000000000001E-2</v>
      </c>
      <c r="AS107">
        <v>2.1000000000000001E-2</v>
      </c>
      <c r="AT107">
        <v>2.1000000000000001E-2</v>
      </c>
      <c r="AU107">
        <v>2.3E-2</v>
      </c>
      <c r="AV107">
        <v>2.1000000000000001E-2</v>
      </c>
      <c r="AW107">
        <v>1.4999999999999999E-2</v>
      </c>
      <c r="AX107">
        <v>2.1999999999999999E-2</v>
      </c>
      <c r="AY107">
        <v>0</v>
      </c>
      <c r="AZ107">
        <v>2.5000000000000001E-2</v>
      </c>
    </row>
    <row r="108" spans="2:52">
      <c r="B108" t="s">
        <v>3049</v>
      </c>
      <c r="C108">
        <v>30594406</v>
      </c>
      <c r="D108" t="s">
        <v>2715</v>
      </c>
      <c r="F108" t="s">
        <v>949</v>
      </c>
      <c r="G108" t="s">
        <v>3050</v>
      </c>
      <c r="H108" t="s">
        <v>172</v>
      </c>
      <c r="K108" t="s">
        <v>3051</v>
      </c>
      <c r="L108">
        <v>0.6</v>
      </c>
      <c r="M108" s="12">
        <v>40026</v>
      </c>
      <c r="N108">
        <v>8</v>
      </c>
      <c r="O108" t="s">
        <v>60</v>
      </c>
      <c r="P108">
        <v>2009</v>
      </c>
      <c r="Q108">
        <v>0.1163</v>
      </c>
      <c r="R108" s="10"/>
      <c r="S108" s="11">
        <v>0.1163</v>
      </c>
      <c r="T108" s="8"/>
      <c r="U108">
        <v>0.155</v>
      </c>
      <c r="V108">
        <v>0.18500000000000003</v>
      </c>
      <c r="W108">
        <v>0.42099999999999999</v>
      </c>
      <c r="X108">
        <v>0.20099999999999996</v>
      </c>
      <c r="Y108">
        <v>0.15400000000000014</v>
      </c>
      <c r="Z108">
        <v>8.9999999999999858E-2</v>
      </c>
      <c r="AA108">
        <v>9.6999999999999975E-2</v>
      </c>
      <c r="AB108">
        <v>7.4999999999999956E-2</v>
      </c>
      <c r="AC108">
        <v>0.17100000000000004</v>
      </c>
      <c r="AD108">
        <v>0.18400000000000016</v>
      </c>
      <c r="AE108">
        <v>0.17599999999999993</v>
      </c>
      <c r="AF108">
        <v>18.495000000000001</v>
      </c>
      <c r="AG108">
        <v>2.5059999999999998</v>
      </c>
      <c r="AH108">
        <v>2.0390000000000001</v>
      </c>
      <c r="AI108">
        <v>4.0880000000000001</v>
      </c>
      <c r="AJ108">
        <v>4.09</v>
      </c>
      <c r="AK108">
        <v>1.3660000000000001</v>
      </c>
      <c r="AL108">
        <v>0.77600000000000002</v>
      </c>
      <c r="AM108">
        <v>1.006</v>
      </c>
      <c r="AN108">
        <v>0.93500000000000005</v>
      </c>
      <c r="AO108">
        <v>0.94099999999999995</v>
      </c>
      <c r="AP108">
        <v>2.464</v>
      </c>
      <c r="AQ108">
        <v>2.0030000000000001</v>
      </c>
      <c r="AR108">
        <v>1.71</v>
      </c>
      <c r="AS108">
        <v>1.7909999999999999</v>
      </c>
      <c r="AT108">
        <v>2.9729999999999999</v>
      </c>
      <c r="AU108">
        <v>2.4049999999999998</v>
      </c>
      <c r="AV108">
        <v>1.7729999999999999</v>
      </c>
      <c r="AW108">
        <v>2.2370000000000001</v>
      </c>
      <c r="AX108">
        <v>1.8420000000000001</v>
      </c>
      <c r="AY108">
        <v>0.96399999999999997</v>
      </c>
      <c r="AZ108">
        <v>0.56499999999999995</v>
      </c>
    </row>
    <row r="109" spans="2:52">
      <c r="B109" t="s">
        <v>3052</v>
      </c>
      <c r="C109">
        <v>30594406</v>
      </c>
      <c r="D109" t="s">
        <v>2715</v>
      </c>
      <c r="F109" t="s">
        <v>949</v>
      </c>
      <c r="G109" t="s">
        <v>3053</v>
      </c>
      <c r="H109" t="s">
        <v>172</v>
      </c>
      <c r="K109" t="s">
        <v>3054</v>
      </c>
      <c r="L109">
        <v>0.36</v>
      </c>
      <c r="M109" s="12">
        <v>40026</v>
      </c>
      <c r="N109">
        <v>8</v>
      </c>
      <c r="O109" t="s">
        <v>60</v>
      </c>
      <c r="P109">
        <v>2009</v>
      </c>
      <c r="Q109">
        <v>0.1163</v>
      </c>
      <c r="R109" s="10"/>
      <c r="S109" s="11">
        <v>0.1163</v>
      </c>
      <c r="T109" s="8"/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2:52">
      <c r="B110" t="s">
        <v>3055</v>
      </c>
      <c r="C110">
        <v>30594406</v>
      </c>
      <c r="D110" t="s">
        <v>2715</v>
      </c>
      <c r="F110" t="s">
        <v>949</v>
      </c>
      <c r="G110" t="s">
        <v>3056</v>
      </c>
      <c r="H110" t="s">
        <v>163</v>
      </c>
      <c r="K110" t="s">
        <v>3057</v>
      </c>
      <c r="L110">
        <v>0.4</v>
      </c>
      <c r="M110" s="12">
        <v>40026</v>
      </c>
      <c r="N110">
        <v>8</v>
      </c>
      <c r="O110" t="s">
        <v>60</v>
      </c>
      <c r="P110">
        <v>2009</v>
      </c>
      <c r="Q110">
        <v>0.1163</v>
      </c>
      <c r="R110" s="10"/>
      <c r="S110" s="11">
        <v>0.1163</v>
      </c>
      <c r="T110" s="8"/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2:52">
      <c r="B111" t="s">
        <v>3058</v>
      </c>
      <c r="C111">
        <v>30594406</v>
      </c>
      <c r="D111" t="s">
        <v>2715</v>
      </c>
      <c r="F111" t="s">
        <v>949</v>
      </c>
      <c r="G111" t="s">
        <v>3059</v>
      </c>
      <c r="H111" t="s">
        <v>163</v>
      </c>
      <c r="K111" t="s">
        <v>3060</v>
      </c>
      <c r="L111">
        <v>0.39600000000000002</v>
      </c>
      <c r="M111" s="12">
        <v>40026</v>
      </c>
      <c r="N111">
        <v>8</v>
      </c>
      <c r="O111" t="s">
        <v>60</v>
      </c>
      <c r="P111">
        <v>2009</v>
      </c>
      <c r="Q111">
        <v>0.1163</v>
      </c>
      <c r="R111" s="10"/>
      <c r="S111" s="11">
        <v>0.1163</v>
      </c>
      <c r="T111" s="8"/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2:52">
      <c r="B112" t="s">
        <v>3061</v>
      </c>
      <c r="C112">
        <v>30594406</v>
      </c>
      <c r="D112" t="s">
        <v>2715</v>
      </c>
      <c r="F112" t="s">
        <v>949</v>
      </c>
      <c r="G112" t="s">
        <v>3062</v>
      </c>
      <c r="H112" t="s">
        <v>172</v>
      </c>
      <c r="K112" t="s">
        <v>3063</v>
      </c>
      <c r="L112">
        <v>0.32</v>
      </c>
      <c r="M112" s="12">
        <v>40026</v>
      </c>
      <c r="N112">
        <v>8</v>
      </c>
      <c r="O112" t="s">
        <v>60</v>
      </c>
      <c r="P112">
        <v>2009</v>
      </c>
      <c r="Q112">
        <v>0.1163</v>
      </c>
      <c r="R112" s="10"/>
      <c r="S112" s="11">
        <v>0.1163</v>
      </c>
      <c r="T112" s="8"/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2:52">
      <c r="B113" t="s">
        <v>3064</v>
      </c>
      <c r="C113">
        <v>30594406</v>
      </c>
      <c r="D113" t="s">
        <v>2715</v>
      </c>
      <c r="F113" t="s">
        <v>949</v>
      </c>
      <c r="G113" t="s">
        <v>3065</v>
      </c>
      <c r="H113" t="s">
        <v>62</v>
      </c>
      <c r="K113" t="s">
        <v>3066</v>
      </c>
      <c r="L113">
        <v>0.35199999999999998</v>
      </c>
      <c r="M113" s="12">
        <v>40026</v>
      </c>
      <c r="N113">
        <v>8</v>
      </c>
      <c r="O113" t="s">
        <v>60</v>
      </c>
      <c r="P113">
        <v>2009</v>
      </c>
      <c r="Q113">
        <v>0.1163</v>
      </c>
      <c r="R113" s="10"/>
      <c r="S113" s="11">
        <v>0.1163</v>
      </c>
      <c r="T113" s="8"/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2:52">
      <c r="B114" t="s">
        <v>3067</v>
      </c>
      <c r="C114">
        <v>30594406</v>
      </c>
      <c r="D114" t="s">
        <v>2715</v>
      </c>
      <c r="F114" t="s">
        <v>949</v>
      </c>
      <c r="G114" t="s">
        <v>3068</v>
      </c>
      <c r="H114" t="s">
        <v>163</v>
      </c>
      <c r="K114" t="s">
        <v>3069</v>
      </c>
      <c r="L114">
        <v>2.39</v>
      </c>
      <c r="M114" s="12">
        <v>40026</v>
      </c>
      <c r="N114">
        <v>8</v>
      </c>
      <c r="O114" t="s">
        <v>60</v>
      </c>
      <c r="P114">
        <v>2009</v>
      </c>
      <c r="Q114">
        <v>0.1163</v>
      </c>
      <c r="R114" s="10"/>
      <c r="S114" s="11">
        <v>0.1163</v>
      </c>
      <c r="T114" s="8"/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2:52">
      <c r="B115" t="s">
        <v>3061</v>
      </c>
      <c r="C115">
        <v>30594406</v>
      </c>
      <c r="D115" t="s">
        <v>2715</v>
      </c>
      <c r="F115" t="s">
        <v>949</v>
      </c>
      <c r="G115" t="s">
        <v>3070</v>
      </c>
      <c r="H115" t="s">
        <v>163</v>
      </c>
      <c r="K115" t="s">
        <v>3071</v>
      </c>
      <c r="L115">
        <v>0.11</v>
      </c>
      <c r="M115" s="12">
        <v>40026</v>
      </c>
      <c r="N115">
        <v>8</v>
      </c>
      <c r="O115" t="s">
        <v>60</v>
      </c>
      <c r="P115">
        <v>2009</v>
      </c>
      <c r="Q115">
        <v>0.1163</v>
      </c>
      <c r="R115" s="10"/>
      <c r="S115" s="11">
        <v>0.1163</v>
      </c>
      <c r="T115" s="8"/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1.504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2:52">
      <c r="B116" t="s">
        <v>3072</v>
      </c>
      <c r="C116">
        <v>30594406</v>
      </c>
      <c r="D116" t="s">
        <v>2715</v>
      </c>
      <c r="F116" t="s">
        <v>949</v>
      </c>
      <c r="G116" t="s">
        <v>3073</v>
      </c>
      <c r="H116" t="s">
        <v>163</v>
      </c>
      <c r="K116" t="s">
        <v>3074</v>
      </c>
      <c r="L116">
        <v>0.42399999999999999</v>
      </c>
      <c r="M116" s="12">
        <v>40026</v>
      </c>
      <c r="N116">
        <v>8</v>
      </c>
      <c r="O116" t="s">
        <v>60</v>
      </c>
      <c r="P116">
        <v>2009</v>
      </c>
      <c r="Q116">
        <v>0.1163</v>
      </c>
      <c r="R116" s="10"/>
      <c r="S116" s="11">
        <v>0.1163</v>
      </c>
      <c r="T116" s="8"/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2:52">
      <c r="C117" t="s">
        <v>58</v>
      </c>
      <c r="F117" t="s">
        <v>949</v>
      </c>
      <c r="G117" t="s">
        <v>3075</v>
      </c>
      <c r="H117" t="s">
        <v>172</v>
      </c>
      <c r="K117" t="s">
        <v>3076</v>
      </c>
      <c r="M117" s="12">
        <v>40026</v>
      </c>
      <c r="N117">
        <v>8</v>
      </c>
      <c r="O117" t="s">
        <v>60</v>
      </c>
      <c r="P117">
        <v>2009</v>
      </c>
      <c r="Q117">
        <v>0</v>
      </c>
      <c r="R117" s="10"/>
      <c r="S117" s="11">
        <v>0</v>
      </c>
      <c r="T117" s="8"/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1.504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2:52">
      <c r="B118" t="s">
        <v>3077</v>
      </c>
      <c r="C118">
        <v>30594406</v>
      </c>
      <c r="D118" t="s">
        <v>2715</v>
      </c>
      <c r="F118" t="s">
        <v>949</v>
      </c>
      <c r="G118" t="s">
        <v>3078</v>
      </c>
      <c r="H118" t="s">
        <v>198</v>
      </c>
      <c r="K118" t="s">
        <v>3079</v>
      </c>
      <c r="L118">
        <v>0.64</v>
      </c>
      <c r="M118" s="12">
        <v>40026</v>
      </c>
      <c r="N118">
        <v>8</v>
      </c>
      <c r="O118" t="s">
        <v>60</v>
      </c>
      <c r="P118">
        <v>2009</v>
      </c>
      <c r="Q118">
        <v>0.1163</v>
      </c>
      <c r="R118" s="10"/>
      <c r="S118" s="11">
        <v>0.1163</v>
      </c>
      <c r="T118" s="8"/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2:52">
      <c r="B119" t="s">
        <v>3080</v>
      </c>
      <c r="C119">
        <v>30594406</v>
      </c>
      <c r="D119" t="s">
        <v>2715</v>
      </c>
      <c r="F119" t="s">
        <v>949</v>
      </c>
      <c r="G119" t="s">
        <v>3081</v>
      </c>
      <c r="H119" t="s">
        <v>163</v>
      </c>
      <c r="K119" t="s">
        <v>3082</v>
      </c>
      <c r="L119">
        <v>3</v>
      </c>
      <c r="M119" s="12">
        <v>40026</v>
      </c>
      <c r="N119">
        <v>8</v>
      </c>
      <c r="O119" t="s">
        <v>60</v>
      </c>
      <c r="P119">
        <v>2009</v>
      </c>
      <c r="Q119">
        <v>0.1163</v>
      </c>
      <c r="R119" s="10"/>
      <c r="S119" s="11">
        <v>0.1163</v>
      </c>
      <c r="T119" s="8"/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2:52">
      <c r="B120" t="s">
        <v>3083</v>
      </c>
      <c r="C120">
        <v>30594406</v>
      </c>
      <c r="D120" t="s">
        <v>2715</v>
      </c>
      <c r="F120" t="s">
        <v>949</v>
      </c>
      <c r="G120" t="s">
        <v>3084</v>
      </c>
      <c r="H120" t="s">
        <v>1257</v>
      </c>
      <c r="K120" t="s">
        <v>3085</v>
      </c>
      <c r="L120">
        <v>1.2</v>
      </c>
      <c r="M120" s="12">
        <v>40094</v>
      </c>
      <c r="N120">
        <v>10</v>
      </c>
      <c r="O120" t="s">
        <v>71</v>
      </c>
      <c r="P120">
        <v>2009</v>
      </c>
      <c r="Q120">
        <v>0.1163</v>
      </c>
      <c r="R120" s="10"/>
      <c r="S120" s="11">
        <v>0.1163</v>
      </c>
      <c r="T120" s="8"/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2:52">
      <c r="B121" t="s">
        <v>3086</v>
      </c>
      <c r="C121">
        <v>30594406</v>
      </c>
      <c r="D121" t="s">
        <v>2715</v>
      </c>
      <c r="F121" t="s">
        <v>949</v>
      </c>
      <c r="G121" t="s">
        <v>3087</v>
      </c>
      <c r="H121" t="s">
        <v>172</v>
      </c>
      <c r="K121" t="s">
        <v>3088</v>
      </c>
      <c r="L121">
        <v>0.11</v>
      </c>
      <c r="M121" s="12">
        <v>42822</v>
      </c>
      <c r="N121">
        <v>3</v>
      </c>
      <c r="O121" t="s">
        <v>67</v>
      </c>
      <c r="P121">
        <v>2017</v>
      </c>
      <c r="Q121">
        <v>0.17449999999999999</v>
      </c>
      <c r="R121" s="10"/>
      <c r="S121" s="11">
        <v>0.17449999999999999</v>
      </c>
      <c r="T121" s="8"/>
      <c r="U121">
        <v>0</v>
      </c>
      <c r="V121">
        <v>0</v>
      </c>
      <c r="W121">
        <v>0</v>
      </c>
      <c r="X121">
        <v>0</v>
      </c>
      <c r="Y121">
        <v>0.01</v>
      </c>
      <c r="Z121">
        <v>9.9999999999999915E-4</v>
      </c>
      <c r="AA121">
        <v>2.1000000000000001E-2</v>
      </c>
      <c r="AB121">
        <v>0</v>
      </c>
      <c r="AC121">
        <v>1.3999999999999999E-2</v>
      </c>
      <c r="AD121">
        <v>4.9999999999999975E-3</v>
      </c>
      <c r="AE121">
        <v>1.0000000000000009E-3</v>
      </c>
      <c r="AF121">
        <v>3.7999999999999999E-2</v>
      </c>
      <c r="AG121">
        <v>2.4E-2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1E-3</v>
      </c>
      <c r="AS121">
        <v>0</v>
      </c>
      <c r="AT121">
        <v>0</v>
      </c>
      <c r="AU121">
        <v>1E-3</v>
      </c>
      <c r="AV121">
        <v>2E-3</v>
      </c>
      <c r="AW121">
        <v>0</v>
      </c>
      <c r="AX121">
        <v>2E-3</v>
      </c>
      <c r="AY121">
        <v>0</v>
      </c>
      <c r="AZ121">
        <v>0</v>
      </c>
    </row>
    <row r="122" spans="2:52">
      <c r="B122" t="s">
        <v>3089</v>
      </c>
      <c r="C122">
        <v>30594406</v>
      </c>
      <c r="D122" t="s">
        <v>2715</v>
      </c>
      <c r="F122" t="s">
        <v>949</v>
      </c>
      <c r="G122" t="s">
        <v>3090</v>
      </c>
      <c r="H122" t="s">
        <v>1257</v>
      </c>
      <c r="K122" t="s">
        <v>3091</v>
      </c>
      <c r="L122">
        <v>0.19800000000000001</v>
      </c>
      <c r="M122" s="12">
        <v>43035</v>
      </c>
      <c r="N122">
        <v>10</v>
      </c>
      <c r="O122" t="s">
        <v>71</v>
      </c>
      <c r="P122">
        <v>2017</v>
      </c>
      <c r="Q122">
        <v>0.17449999999999999</v>
      </c>
      <c r="R122" s="10">
        <v>0.05</v>
      </c>
      <c r="S122" s="11">
        <v>0.183225</v>
      </c>
      <c r="T122" s="8">
        <v>43144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1.7000000000000001E-2</v>
      </c>
      <c r="AI122">
        <v>4.3999999999999997E-2</v>
      </c>
      <c r="AJ122">
        <v>0.11899999999999999</v>
      </c>
      <c r="AK122">
        <v>4.2999999999999997E-2</v>
      </c>
      <c r="AL122">
        <v>4.9000000000000002E-2</v>
      </c>
      <c r="AM122">
        <v>9.8000000000000004E-2</v>
      </c>
      <c r="AN122">
        <v>6.9000000000000006E-2</v>
      </c>
      <c r="AO122">
        <v>6.3E-2</v>
      </c>
      <c r="AP122">
        <v>4.3999999999999997E-2</v>
      </c>
      <c r="AQ122">
        <v>2.7E-2</v>
      </c>
      <c r="AR122">
        <v>2.1000000000000001E-2</v>
      </c>
      <c r="AS122">
        <v>1.4999999999999999E-2</v>
      </c>
      <c r="AT122">
        <v>1.6E-2</v>
      </c>
      <c r="AU122">
        <v>0.06</v>
      </c>
      <c r="AV122">
        <v>0.127</v>
      </c>
      <c r="AW122">
        <v>0.127</v>
      </c>
      <c r="AX122">
        <v>0.126</v>
      </c>
      <c r="AY122">
        <v>4.8000000000000001E-2</v>
      </c>
      <c r="AZ122">
        <v>2.4E-2</v>
      </c>
    </row>
    <row r="123" spans="2:52">
      <c r="C123" t="s">
        <v>58</v>
      </c>
      <c r="D123" t="s">
        <v>2715</v>
      </c>
      <c r="F123" t="s">
        <v>3092</v>
      </c>
      <c r="G123" t="s">
        <v>2744</v>
      </c>
      <c r="H123" t="s">
        <v>198</v>
      </c>
      <c r="K123" t="s">
        <v>3093</v>
      </c>
      <c r="L123">
        <v>0.09</v>
      </c>
      <c r="M123" s="12">
        <v>43431</v>
      </c>
      <c r="N123">
        <v>11</v>
      </c>
      <c r="O123" t="s">
        <v>71</v>
      </c>
      <c r="P123">
        <v>2018</v>
      </c>
      <c r="Q123">
        <v>0.17449999999999999</v>
      </c>
      <c r="R123" s="10"/>
      <c r="S123" s="11">
        <v>0.17449999999999999</v>
      </c>
      <c r="T123" s="8"/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8.0000000000000002E-3</v>
      </c>
      <c r="AU123">
        <v>1.4999999999999999E-2</v>
      </c>
      <c r="AV123">
        <v>7.0000000000000001E-3</v>
      </c>
      <c r="AW123">
        <v>2.5999999999999999E-2</v>
      </c>
      <c r="AX123">
        <v>2.4E-2</v>
      </c>
      <c r="AY123">
        <v>2.1999999999999999E-2</v>
      </c>
      <c r="AZ123">
        <v>1.2E-2</v>
      </c>
    </row>
    <row r="124" spans="2:52">
      <c r="C124" t="s">
        <v>58</v>
      </c>
      <c r="D124" t="s">
        <v>2715</v>
      </c>
      <c r="F124" t="s">
        <v>3094</v>
      </c>
      <c r="G124" t="s">
        <v>3095</v>
      </c>
      <c r="H124" t="s">
        <v>62</v>
      </c>
      <c r="K124" t="s">
        <v>3096</v>
      </c>
      <c r="L124">
        <v>0.19800000000000001</v>
      </c>
      <c r="M124" s="12">
        <v>43396</v>
      </c>
      <c r="N124">
        <v>10</v>
      </c>
      <c r="O124" t="s">
        <v>71</v>
      </c>
      <c r="P124">
        <v>2018</v>
      </c>
      <c r="Q124">
        <v>0.17449999999999999</v>
      </c>
      <c r="R124" s="10">
        <v>0.05</v>
      </c>
      <c r="S124" s="11">
        <v>0.183225</v>
      </c>
      <c r="T124" s="8">
        <v>43396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4.7E-2</v>
      </c>
      <c r="AT124">
        <v>9.9000000000000005E-2</v>
      </c>
      <c r="AU124">
        <v>0.10299999999999999</v>
      </c>
      <c r="AV124">
        <v>9.5000000000000001E-2</v>
      </c>
      <c r="AW124">
        <v>0.13900000000000001</v>
      </c>
      <c r="AX124">
        <v>0.126</v>
      </c>
      <c r="AY124">
        <v>7.8E-2</v>
      </c>
      <c r="AZ124">
        <v>6.0999999999999999E-2</v>
      </c>
    </row>
    <row r="125" spans="2:52">
      <c r="B125" t="s">
        <v>3097</v>
      </c>
      <c r="C125">
        <v>36802164</v>
      </c>
      <c r="D125" t="s">
        <v>2715</v>
      </c>
      <c r="F125" t="s">
        <v>3098</v>
      </c>
      <c r="G125" t="s">
        <v>3099</v>
      </c>
      <c r="H125" t="s">
        <v>198</v>
      </c>
      <c r="K125" t="s">
        <v>3100</v>
      </c>
      <c r="L125">
        <v>0.16500000000000001</v>
      </c>
      <c r="M125" s="12">
        <v>40299</v>
      </c>
      <c r="N125">
        <v>5</v>
      </c>
      <c r="O125" t="s">
        <v>57</v>
      </c>
      <c r="P125">
        <v>2010</v>
      </c>
      <c r="Q125">
        <v>0.1163</v>
      </c>
      <c r="R125" s="10"/>
      <c r="S125" s="11">
        <v>0.1163</v>
      </c>
      <c r="T125" s="8"/>
      <c r="U125">
        <v>6.7000000000000004E-2</v>
      </c>
      <c r="V125">
        <v>7.8999999999999987E-2</v>
      </c>
      <c r="W125">
        <v>0.16599999999999995</v>
      </c>
      <c r="X125">
        <v>8.6000000000000076E-2</v>
      </c>
      <c r="Y125">
        <v>5.4999999999999993E-2</v>
      </c>
      <c r="Z125">
        <v>2.0999999999999963E-2</v>
      </c>
      <c r="AA125">
        <v>1.100000000000001E-2</v>
      </c>
      <c r="AB125">
        <v>1.2000000000000011E-2</v>
      </c>
      <c r="AC125">
        <v>6.2000000000000055E-2</v>
      </c>
      <c r="AD125">
        <v>0.10799999999999998</v>
      </c>
      <c r="AE125">
        <v>7.5999999999999956E-2</v>
      </c>
      <c r="AF125">
        <v>8.9999999999999969E-2</v>
      </c>
      <c r="AG125">
        <v>0.106</v>
      </c>
      <c r="AH125">
        <v>7.8E-2</v>
      </c>
      <c r="AI125">
        <v>0.16500000000000001</v>
      </c>
      <c r="AJ125">
        <v>9.1999999999999998E-2</v>
      </c>
      <c r="AK125">
        <v>2.5999999999999999E-2</v>
      </c>
      <c r="AL125">
        <v>1.2E-2</v>
      </c>
      <c r="AM125">
        <v>3.7999999999999999E-2</v>
      </c>
      <c r="AN125">
        <v>2.7E-2</v>
      </c>
      <c r="AO125">
        <v>4.2999999999999997E-2</v>
      </c>
      <c r="AP125">
        <v>0.11799999999999999</v>
      </c>
      <c r="AQ125">
        <v>6.9000000000000006E-2</v>
      </c>
      <c r="AR125">
        <v>6.6000000000000003E-2</v>
      </c>
      <c r="AS125">
        <v>6.6000000000000003E-2</v>
      </c>
      <c r="AT125">
        <v>0.108</v>
      </c>
      <c r="AU125">
        <v>7.3999999999999996E-2</v>
      </c>
      <c r="AV125">
        <v>4.1000000000000002E-2</v>
      </c>
      <c r="AW125">
        <v>8.3000000000000004E-2</v>
      </c>
      <c r="AX125">
        <v>6.7000000000000004E-2</v>
      </c>
      <c r="AY125">
        <v>2.4E-2</v>
      </c>
      <c r="AZ125">
        <v>7.0000000000000001E-3</v>
      </c>
    </row>
    <row r="126" spans="2:52">
      <c r="B126" t="s">
        <v>3101</v>
      </c>
      <c r="C126">
        <v>36802164</v>
      </c>
      <c r="D126" t="s">
        <v>2715</v>
      </c>
      <c r="F126" t="s">
        <v>3098</v>
      </c>
      <c r="G126" t="s">
        <v>3102</v>
      </c>
      <c r="H126" t="s">
        <v>198</v>
      </c>
      <c r="K126" t="s">
        <v>3103</v>
      </c>
      <c r="L126">
        <v>0.11</v>
      </c>
      <c r="M126" s="12">
        <v>40745</v>
      </c>
      <c r="N126">
        <v>7</v>
      </c>
      <c r="O126" t="s">
        <v>60</v>
      </c>
      <c r="P126">
        <v>2011</v>
      </c>
      <c r="Q126">
        <v>0.1163</v>
      </c>
      <c r="R126" s="10"/>
      <c r="S126" s="11">
        <v>0.1163</v>
      </c>
      <c r="T126" s="8"/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2:52">
      <c r="B127" t="s">
        <v>3104</v>
      </c>
      <c r="C127">
        <v>36802164</v>
      </c>
      <c r="D127" t="s">
        <v>2715</v>
      </c>
      <c r="F127" t="s">
        <v>3098</v>
      </c>
      <c r="G127" t="s">
        <v>3105</v>
      </c>
      <c r="H127" t="s">
        <v>198</v>
      </c>
      <c r="K127" t="s">
        <v>3106</v>
      </c>
      <c r="L127">
        <v>5.5E-2</v>
      </c>
      <c r="M127" s="12">
        <v>40909</v>
      </c>
      <c r="N127">
        <v>1</v>
      </c>
      <c r="O127" t="s">
        <v>67</v>
      </c>
      <c r="P127">
        <v>2012</v>
      </c>
      <c r="Q127">
        <v>0.1163</v>
      </c>
      <c r="R127" s="10"/>
      <c r="S127" s="11">
        <v>0.1163</v>
      </c>
      <c r="T127" s="8"/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2:52">
      <c r="B128" t="s">
        <v>3107</v>
      </c>
      <c r="C128">
        <v>36802164</v>
      </c>
      <c r="D128" t="s">
        <v>2715</v>
      </c>
      <c r="F128" t="s">
        <v>3098</v>
      </c>
      <c r="G128" t="s">
        <v>3108</v>
      </c>
      <c r="H128" t="s">
        <v>163</v>
      </c>
      <c r="K128" t="s">
        <v>3109</v>
      </c>
      <c r="L128">
        <v>0.16500000000000001</v>
      </c>
      <c r="M128" s="12">
        <v>40513</v>
      </c>
      <c r="N128">
        <v>12</v>
      </c>
      <c r="O128" t="s">
        <v>71</v>
      </c>
      <c r="P128">
        <v>2010</v>
      </c>
      <c r="Q128">
        <v>0.1163</v>
      </c>
      <c r="R128" s="10"/>
      <c r="S128" s="11">
        <v>0.1163</v>
      </c>
      <c r="T128" s="8"/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2:52">
      <c r="B129" t="s">
        <v>3110</v>
      </c>
      <c r="C129">
        <v>36802164</v>
      </c>
      <c r="D129" t="s">
        <v>2715</v>
      </c>
      <c r="F129" t="s">
        <v>3098</v>
      </c>
      <c r="G129" t="s">
        <v>3111</v>
      </c>
      <c r="H129" t="s">
        <v>198</v>
      </c>
      <c r="K129" t="s">
        <v>3112</v>
      </c>
      <c r="L129">
        <v>7.4999999999999997E-2</v>
      </c>
      <c r="M129" s="12">
        <v>41585</v>
      </c>
      <c r="N129">
        <v>11</v>
      </c>
      <c r="O129" t="s">
        <v>71</v>
      </c>
      <c r="P129">
        <v>2013</v>
      </c>
      <c r="Q129">
        <v>0.1163</v>
      </c>
      <c r="R129" s="10"/>
      <c r="S129" s="11">
        <v>0.1163</v>
      </c>
      <c r="T129" s="8"/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2:52">
      <c r="B130" t="s">
        <v>3113</v>
      </c>
      <c r="C130">
        <v>36802164</v>
      </c>
      <c r="D130" t="s">
        <v>2715</v>
      </c>
      <c r="F130" t="s">
        <v>3098</v>
      </c>
      <c r="G130" t="s">
        <v>3114</v>
      </c>
      <c r="H130" t="s">
        <v>176</v>
      </c>
      <c r="K130" t="s">
        <v>3115</v>
      </c>
      <c r="L130">
        <v>0.13</v>
      </c>
      <c r="M130" s="12">
        <v>40948</v>
      </c>
      <c r="N130">
        <v>2</v>
      </c>
      <c r="O130" t="s">
        <v>67</v>
      </c>
      <c r="P130">
        <v>2012</v>
      </c>
      <c r="Q130">
        <v>0.1163</v>
      </c>
      <c r="R130" s="10"/>
      <c r="S130" s="11">
        <v>0.1163</v>
      </c>
      <c r="T130" s="8"/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2:52">
      <c r="B131" t="s">
        <v>3116</v>
      </c>
      <c r="C131">
        <v>36802164</v>
      </c>
      <c r="D131" t="s">
        <v>2715</v>
      </c>
      <c r="F131" t="s">
        <v>3098</v>
      </c>
      <c r="G131" t="s">
        <v>3117</v>
      </c>
      <c r="H131" t="s">
        <v>198</v>
      </c>
      <c r="I131" t="s">
        <v>3118</v>
      </c>
      <c r="K131" t="s">
        <v>3119</v>
      </c>
      <c r="L131">
        <v>0.11</v>
      </c>
      <c r="M131" s="12">
        <v>41998</v>
      </c>
      <c r="N131">
        <v>12</v>
      </c>
      <c r="O131" t="s">
        <v>71</v>
      </c>
      <c r="P131">
        <v>2014</v>
      </c>
      <c r="Q131">
        <v>0.19389999999999999</v>
      </c>
      <c r="R131" s="10"/>
      <c r="S131" s="11">
        <v>0.19389999999999999</v>
      </c>
      <c r="T131" s="8"/>
      <c r="U131">
        <v>8.0000000000000002E-3</v>
      </c>
      <c r="V131">
        <v>1.9E-2</v>
      </c>
      <c r="W131">
        <v>3.3000000000000002E-2</v>
      </c>
      <c r="X131">
        <v>5.8999999999999997E-2</v>
      </c>
      <c r="Y131">
        <v>2.0000000000000018E-2</v>
      </c>
      <c r="Z131">
        <v>1.7999999999999988E-2</v>
      </c>
      <c r="AA131">
        <v>5.0000000000000044E-3</v>
      </c>
      <c r="AB131">
        <v>2.0000000000000018E-3</v>
      </c>
      <c r="AC131">
        <v>2.6999999999999996E-2</v>
      </c>
      <c r="AD131">
        <v>6.3E-2</v>
      </c>
      <c r="AE131">
        <v>2.1000000000000019E-2</v>
      </c>
      <c r="AF131">
        <v>2.5999999999999968E-2</v>
      </c>
      <c r="AG131">
        <v>2.1999999999999999E-2</v>
      </c>
      <c r="AH131">
        <v>3.1E-2</v>
      </c>
      <c r="AI131">
        <v>6.4000000000000001E-2</v>
      </c>
      <c r="AJ131">
        <v>6.5000000000000002E-2</v>
      </c>
      <c r="AK131">
        <v>1.2999999999999999E-2</v>
      </c>
      <c r="AL131">
        <v>0.01</v>
      </c>
      <c r="AM131">
        <v>3.4000000000000002E-2</v>
      </c>
      <c r="AN131">
        <v>1.4E-2</v>
      </c>
      <c r="AO131">
        <v>4.8000000000000001E-2</v>
      </c>
      <c r="AP131">
        <v>6.9000000000000006E-2</v>
      </c>
      <c r="AQ131">
        <v>2.7E-2</v>
      </c>
      <c r="AR131">
        <v>1.7000000000000001E-2</v>
      </c>
      <c r="AS131">
        <v>2.1000000000000001E-2</v>
      </c>
      <c r="AT131">
        <v>5.0999999999999997E-2</v>
      </c>
      <c r="AU131">
        <v>2.1999999999999999E-2</v>
      </c>
      <c r="AV131">
        <v>1.4999999999999999E-2</v>
      </c>
      <c r="AW131">
        <v>3.1E-2</v>
      </c>
      <c r="AX131">
        <v>5.1999999999999998E-2</v>
      </c>
      <c r="AY131">
        <v>8.0000000000000002E-3</v>
      </c>
      <c r="AZ131">
        <v>3.0000000000000001E-3</v>
      </c>
    </row>
    <row r="132" spans="2:52">
      <c r="B132" t="s">
        <v>3120</v>
      </c>
      <c r="C132">
        <v>36802164</v>
      </c>
      <c r="D132" t="s">
        <v>2715</v>
      </c>
      <c r="F132" t="s">
        <v>3098</v>
      </c>
      <c r="G132" t="s">
        <v>3121</v>
      </c>
      <c r="H132" t="s">
        <v>198</v>
      </c>
      <c r="I132" t="s">
        <v>3118</v>
      </c>
      <c r="K132" t="s">
        <v>3122</v>
      </c>
      <c r="L132">
        <v>7.4999999999999997E-2</v>
      </c>
      <c r="M132" s="12">
        <v>41606</v>
      </c>
      <c r="N132">
        <v>11</v>
      </c>
      <c r="O132" t="s">
        <v>71</v>
      </c>
      <c r="P132">
        <v>2013</v>
      </c>
      <c r="Q132">
        <v>0.19389999999999999</v>
      </c>
      <c r="R132" s="10"/>
      <c r="S132" s="11">
        <v>0.19389999999999999</v>
      </c>
      <c r="T132" s="8"/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2:52">
      <c r="C133" t="s">
        <v>58</v>
      </c>
      <c r="D133" t="s">
        <v>2715</v>
      </c>
      <c r="F133" t="s">
        <v>3123</v>
      </c>
      <c r="G133" t="s">
        <v>3015</v>
      </c>
      <c r="H133" t="s">
        <v>198</v>
      </c>
      <c r="I133" t="s">
        <v>2808</v>
      </c>
      <c r="K133" t="s">
        <v>3124</v>
      </c>
      <c r="L133">
        <v>0.11</v>
      </c>
      <c r="M133" s="12">
        <v>43448</v>
      </c>
      <c r="N133">
        <v>12</v>
      </c>
      <c r="O133" t="s">
        <v>71</v>
      </c>
      <c r="P133">
        <v>2018</v>
      </c>
      <c r="Q133">
        <v>0.17449999999999999</v>
      </c>
      <c r="R133" s="10">
        <v>0.05</v>
      </c>
      <c r="S133" s="11">
        <v>0.183225</v>
      </c>
      <c r="T133" s="8">
        <v>43448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1.2E-2</v>
      </c>
      <c r="AT133">
        <v>1.7999999999999999E-2</v>
      </c>
      <c r="AU133">
        <v>1.4E-2</v>
      </c>
      <c r="AV133">
        <v>1.2E-2</v>
      </c>
      <c r="AW133">
        <v>7.0000000000000001E-3</v>
      </c>
      <c r="AX133">
        <v>0</v>
      </c>
      <c r="AY133">
        <v>0</v>
      </c>
      <c r="AZ133">
        <v>1E-3</v>
      </c>
    </row>
    <row r="134" spans="2:52">
      <c r="B134" t="s">
        <v>3125</v>
      </c>
      <c r="C134">
        <v>5437173</v>
      </c>
      <c r="D134" t="s">
        <v>2715</v>
      </c>
      <c r="F134" t="s">
        <v>3126</v>
      </c>
      <c r="G134" t="s">
        <v>3127</v>
      </c>
      <c r="H134" t="s">
        <v>176</v>
      </c>
      <c r="I134" t="s">
        <v>3128</v>
      </c>
      <c r="K134" t="s">
        <v>3129</v>
      </c>
      <c r="L134">
        <v>0.2</v>
      </c>
      <c r="M134" s="12">
        <v>40148</v>
      </c>
      <c r="N134">
        <v>12</v>
      </c>
      <c r="O134" t="s">
        <v>71</v>
      </c>
      <c r="P134">
        <v>2009</v>
      </c>
      <c r="Q134">
        <v>0.1163</v>
      </c>
      <c r="R134" s="10"/>
      <c r="S134" s="11">
        <v>0.1163</v>
      </c>
      <c r="T134" s="8"/>
      <c r="U134">
        <v>7.3999999999999996E-2</v>
      </c>
      <c r="V134">
        <v>0.10099999999999999</v>
      </c>
      <c r="W134">
        <v>0.29699999999999999</v>
      </c>
      <c r="X134">
        <v>0.16800000000000004</v>
      </c>
      <c r="Y134">
        <v>8.7999999999999967E-2</v>
      </c>
      <c r="Z134">
        <v>7.4000000000000066E-2</v>
      </c>
      <c r="AA134">
        <v>3.5999999999999921E-2</v>
      </c>
      <c r="AB134">
        <v>3.7000000000000033E-2</v>
      </c>
      <c r="AC134">
        <v>3.6000000000000032E-2</v>
      </c>
      <c r="AD134">
        <v>7.8999999999999959E-2</v>
      </c>
      <c r="AE134">
        <v>9.099999999999997E-2</v>
      </c>
      <c r="AF134">
        <v>0.10099999999999998</v>
      </c>
      <c r="AG134">
        <v>9.8000000000000004E-2</v>
      </c>
      <c r="AH134">
        <v>9.8000000000000004E-2</v>
      </c>
      <c r="AI134">
        <v>0.24199999999999999</v>
      </c>
      <c r="AJ134">
        <v>0.21199999999999999</v>
      </c>
      <c r="AK134">
        <v>7.1999999999999995E-2</v>
      </c>
      <c r="AL134">
        <v>4.2000000000000003E-2</v>
      </c>
      <c r="AM134">
        <v>6.3E-2</v>
      </c>
      <c r="AN134">
        <v>3.9E-2</v>
      </c>
      <c r="AO134">
        <v>1.9E-2</v>
      </c>
      <c r="AP134">
        <v>5.5E-2</v>
      </c>
      <c r="AQ134">
        <v>0.05</v>
      </c>
      <c r="AR134">
        <v>7.5999999999999998E-2</v>
      </c>
      <c r="AS134">
        <v>9.4E-2</v>
      </c>
      <c r="AT134">
        <v>0.14099999999999999</v>
      </c>
      <c r="AU134">
        <v>0.10299999999999999</v>
      </c>
      <c r="AV134">
        <v>7.0000000000000007E-2</v>
      </c>
      <c r="AW134">
        <v>0.23799999999999999</v>
      </c>
      <c r="AX134">
        <v>0.17599999999999999</v>
      </c>
      <c r="AY134">
        <v>5.5E-2</v>
      </c>
      <c r="AZ134">
        <v>2.3E-2</v>
      </c>
    </row>
    <row r="135" spans="2:52">
      <c r="B135" t="s">
        <v>3130</v>
      </c>
      <c r="C135">
        <v>5437173</v>
      </c>
      <c r="D135" t="s">
        <v>2715</v>
      </c>
      <c r="F135" t="s">
        <v>3126</v>
      </c>
      <c r="G135" t="s">
        <v>3131</v>
      </c>
      <c r="H135" t="s">
        <v>176</v>
      </c>
      <c r="I135" t="s">
        <v>3128</v>
      </c>
      <c r="K135" t="s">
        <v>3132</v>
      </c>
      <c r="L135">
        <v>0.4</v>
      </c>
      <c r="M135" s="12">
        <v>40148</v>
      </c>
      <c r="N135">
        <v>12</v>
      </c>
      <c r="O135" t="s">
        <v>71</v>
      </c>
      <c r="P135">
        <v>2009</v>
      </c>
      <c r="Q135">
        <v>0.1163</v>
      </c>
      <c r="R135" s="10"/>
      <c r="S135" s="11">
        <v>0.1163</v>
      </c>
      <c r="T135" s="8"/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2:52">
      <c r="C136" t="s">
        <v>58</v>
      </c>
      <c r="D136" t="s">
        <v>2715</v>
      </c>
      <c r="F136" t="s">
        <v>3133</v>
      </c>
      <c r="G136" t="s">
        <v>2744</v>
      </c>
      <c r="H136" t="s">
        <v>233</v>
      </c>
      <c r="I136" t="s">
        <v>2771</v>
      </c>
      <c r="K136" t="s">
        <v>3134</v>
      </c>
      <c r="L136">
        <v>0.996</v>
      </c>
      <c r="M136" s="12">
        <v>43096</v>
      </c>
      <c r="N136">
        <v>12</v>
      </c>
      <c r="O136" t="s">
        <v>71</v>
      </c>
      <c r="P136">
        <v>2017</v>
      </c>
      <c r="Q136">
        <v>0.13950000000000001</v>
      </c>
      <c r="R136" s="10"/>
      <c r="S136" s="11">
        <v>0.13950000000000001</v>
      </c>
      <c r="T136" s="8"/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0.46300000000000002</v>
      </c>
      <c r="AG136">
        <v>0.44600000000000001</v>
      </c>
      <c r="AH136">
        <v>0.25800000000000001</v>
      </c>
      <c r="AI136">
        <v>0.38700000000000001</v>
      </c>
      <c r="AJ136">
        <v>0.71599999999999997</v>
      </c>
      <c r="AK136">
        <v>0.58099999999999996</v>
      </c>
      <c r="AL136">
        <v>0.48399999999999999</v>
      </c>
      <c r="AM136">
        <v>0.44600000000000001</v>
      </c>
      <c r="AN136">
        <v>0.20699999999999999</v>
      </c>
      <c r="AO136">
        <v>0.151</v>
      </c>
      <c r="AP136">
        <v>0.29699999999999999</v>
      </c>
      <c r="AQ136">
        <v>0.20799999999999999</v>
      </c>
      <c r="AR136">
        <v>0.115</v>
      </c>
      <c r="AS136">
        <v>9.8000000000000004E-2</v>
      </c>
      <c r="AT136">
        <v>0.17699999999999999</v>
      </c>
      <c r="AU136">
        <v>0.495</v>
      </c>
      <c r="AV136">
        <v>0.71199999999999997</v>
      </c>
      <c r="AW136">
        <v>0.72899999999999998</v>
      </c>
      <c r="AX136">
        <v>0.54300000000000004</v>
      </c>
      <c r="AY136">
        <v>0.29299999999999998</v>
      </c>
      <c r="AZ136">
        <v>0.28399999999999997</v>
      </c>
    </row>
    <row r="137" spans="2:52">
      <c r="C137" t="s">
        <v>58</v>
      </c>
      <c r="D137" t="s">
        <v>2715</v>
      </c>
      <c r="F137" t="s">
        <v>3135</v>
      </c>
      <c r="G137" t="s">
        <v>3136</v>
      </c>
      <c r="H137" t="s">
        <v>172</v>
      </c>
      <c r="I137" t="s">
        <v>951</v>
      </c>
      <c r="K137" t="s">
        <v>3137</v>
      </c>
      <c r="L137">
        <v>0.16</v>
      </c>
      <c r="M137" s="12">
        <v>42198</v>
      </c>
      <c r="N137">
        <v>7</v>
      </c>
      <c r="O137" t="s">
        <v>60</v>
      </c>
      <c r="P137">
        <v>2015</v>
      </c>
      <c r="Q137">
        <v>0.19389999999999999</v>
      </c>
      <c r="R137" s="10"/>
      <c r="S137" s="11">
        <v>0.19389999999999999</v>
      </c>
      <c r="T137" s="8"/>
      <c r="U137">
        <v>4.1000000000000002E-2</v>
      </c>
      <c r="V137">
        <v>6.4000000000000001E-2</v>
      </c>
      <c r="W137">
        <v>0.184</v>
      </c>
      <c r="X137">
        <v>0.10600000000000004</v>
      </c>
      <c r="Y137">
        <v>6.4000000000000001E-2</v>
      </c>
      <c r="Z137">
        <v>5.2999999999999992E-2</v>
      </c>
      <c r="AA137">
        <v>3.7000000000000033E-2</v>
      </c>
      <c r="AB137">
        <v>4.2999999999999927E-2</v>
      </c>
      <c r="AC137">
        <v>3.2000000000000028E-2</v>
      </c>
      <c r="AD137">
        <v>5.7000000000000051E-2</v>
      </c>
      <c r="AE137">
        <v>6.3999999999999946E-2</v>
      </c>
      <c r="AF137">
        <v>6.5000000000000058E-2</v>
      </c>
      <c r="AG137">
        <v>6.0999999999999999E-2</v>
      </c>
      <c r="AH137">
        <v>6.2E-2</v>
      </c>
      <c r="AI137">
        <v>0.161</v>
      </c>
      <c r="AJ137">
        <v>0.14000000000000001</v>
      </c>
      <c r="AK137">
        <v>6.0999999999999999E-2</v>
      </c>
      <c r="AL137">
        <v>5.0999999999999997E-2</v>
      </c>
      <c r="AM137">
        <v>5.8000000000000003E-2</v>
      </c>
      <c r="AN137">
        <v>4.5999999999999999E-2</v>
      </c>
      <c r="AO137">
        <v>2.8000000000000001E-2</v>
      </c>
      <c r="AP137">
        <v>4.5999999999999999E-2</v>
      </c>
      <c r="AQ137">
        <v>4.2999999999999997E-2</v>
      </c>
      <c r="AR137">
        <v>5.3999999999999999E-2</v>
      </c>
      <c r="AS137">
        <v>6.7000000000000004E-2</v>
      </c>
      <c r="AT137">
        <v>9.8000000000000004E-2</v>
      </c>
      <c r="AU137">
        <v>7.0000000000000007E-2</v>
      </c>
      <c r="AV137">
        <v>5.3999999999999999E-2</v>
      </c>
      <c r="AW137">
        <v>0.16800000000000001</v>
      </c>
      <c r="AX137">
        <v>0.11</v>
      </c>
      <c r="AY137">
        <v>5.5E-2</v>
      </c>
      <c r="AZ137">
        <v>3.5000000000000003E-2</v>
      </c>
    </row>
    <row r="138" spans="2:52">
      <c r="C138" t="s">
        <v>58</v>
      </c>
      <c r="D138" t="s">
        <v>2715</v>
      </c>
      <c r="F138" t="s">
        <v>3135</v>
      </c>
      <c r="G138" t="s">
        <v>3136</v>
      </c>
      <c r="H138" t="s">
        <v>172</v>
      </c>
      <c r="I138" t="s">
        <v>951</v>
      </c>
      <c r="K138" t="s">
        <v>3138</v>
      </c>
      <c r="L138">
        <v>0.19900000000000001</v>
      </c>
      <c r="M138" s="12">
        <v>42198</v>
      </c>
      <c r="N138">
        <v>7</v>
      </c>
      <c r="O138" t="s">
        <v>60</v>
      </c>
      <c r="P138">
        <v>2015</v>
      </c>
      <c r="Q138">
        <v>0.19389999999999999</v>
      </c>
      <c r="R138" s="10"/>
      <c r="S138" s="11">
        <v>0.19389999999999999</v>
      </c>
      <c r="T138" s="8"/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2:52">
      <c r="C139" t="s">
        <v>58</v>
      </c>
      <c r="D139" t="s">
        <v>2715</v>
      </c>
      <c r="F139" t="s">
        <v>3139</v>
      </c>
      <c r="G139" t="s">
        <v>3136</v>
      </c>
      <c r="H139" t="s">
        <v>176</v>
      </c>
      <c r="I139" t="s">
        <v>1970</v>
      </c>
      <c r="K139" t="s">
        <v>3140</v>
      </c>
      <c r="L139">
        <v>0.38200000000000001</v>
      </c>
      <c r="M139" s="12">
        <v>43007</v>
      </c>
      <c r="N139">
        <v>9</v>
      </c>
      <c r="O139" t="s">
        <v>60</v>
      </c>
      <c r="P139">
        <v>2017</v>
      </c>
      <c r="Q139">
        <v>0.13950000000000001</v>
      </c>
      <c r="R139" s="10"/>
      <c r="S139" s="11">
        <v>0.13950000000000001</v>
      </c>
      <c r="T139" s="8"/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5.6000000000000001E-2</v>
      </c>
      <c r="AE139">
        <v>5.5E-2</v>
      </c>
      <c r="AF139">
        <v>7.6999999999999999E-2</v>
      </c>
      <c r="AG139">
        <v>8.4000000000000005E-2</v>
      </c>
      <c r="AH139">
        <v>7.5999999999999998E-2</v>
      </c>
      <c r="AI139">
        <v>0.159</v>
      </c>
      <c r="AJ139">
        <v>0.154</v>
      </c>
      <c r="AK139">
        <v>3.5000000000000003E-2</v>
      </c>
      <c r="AL139">
        <v>2.5000000000000001E-2</v>
      </c>
      <c r="AM139">
        <v>4.1000000000000002E-2</v>
      </c>
      <c r="AN139">
        <v>2.5000000000000001E-2</v>
      </c>
      <c r="AO139">
        <v>2.4E-2</v>
      </c>
      <c r="AP139">
        <v>4.5999999999999999E-2</v>
      </c>
      <c r="AQ139">
        <v>3.4000000000000002E-2</v>
      </c>
      <c r="AR139">
        <v>4.5999999999999999E-2</v>
      </c>
      <c r="AS139">
        <v>7.6999999999999999E-2</v>
      </c>
      <c r="AT139">
        <v>0.10299999999999999</v>
      </c>
      <c r="AU139">
        <v>7.0999999999999994E-2</v>
      </c>
      <c r="AV139">
        <v>4.1000000000000002E-2</v>
      </c>
      <c r="AW139">
        <v>0.104</v>
      </c>
      <c r="AX139">
        <v>0.11899999999999999</v>
      </c>
      <c r="AY139">
        <v>2.3E-2</v>
      </c>
      <c r="AZ139">
        <v>8.9999999999999993E-3</v>
      </c>
    </row>
    <row r="140" spans="2:52">
      <c r="C140" t="s">
        <v>58</v>
      </c>
      <c r="D140" t="s">
        <v>2715</v>
      </c>
      <c r="F140" t="s">
        <v>3141</v>
      </c>
      <c r="G140" t="s">
        <v>3142</v>
      </c>
      <c r="H140" t="s">
        <v>172</v>
      </c>
      <c r="I140" t="s">
        <v>2829</v>
      </c>
      <c r="K140" t="s">
        <v>3143</v>
      </c>
      <c r="L140">
        <v>0.315</v>
      </c>
      <c r="M140" s="12">
        <v>42481</v>
      </c>
      <c r="N140">
        <v>4</v>
      </c>
      <c r="O140" t="s">
        <v>57</v>
      </c>
      <c r="P140">
        <v>2016</v>
      </c>
      <c r="Q140">
        <v>0.13950000000000001</v>
      </c>
      <c r="R140" s="10"/>
      <c r="S140" s="11">
        <v>0.13950000000000001</v>
      </c>
      <c r="T140" s="8"/>
      <c r="U140">
        <v>2.1999999999999999E-2</v>
      </c>
      <c r="V140">
        <v>4.1000000000000002E-2</v>
      </c>
      <c r="W140">
        <v>7.3000000000000009E-2</v>
      </c>
      <c r="X140">
        <v>3.5999999999999976E-2</v>
      </c>
      <c r="Y140">
        <v>2.8000000000000025E-2</v>
      </c>
      <c r="Z140">
        <v>1.4999999999999986E-2</v>
      </c>
      <c r="AA140">
        <v>8.0000000000000071E-3</v>
      </c>
      <c r="AB140">
        <v>0</v>
      </c>
      <c r="AC140">
        <v>8.0000000000000071E-3</v>
      </c>
      <c r="AD140">
        <v>2.7999999999999997E-2</v>
      </c>
      <c r="AE140">
        <v>3.0999999999999972E-2</v>
      </c>
      <c r="AF140">
        <v>2.9000000000000026E-2</v>
      </c>
      <c r="AG140">
        <v>2.9000000000000001E-2</v>
      </c>
      <c r="AH140">
        <v>2.5000000000000001E-2</v>
      </c>
      <c r="AI140">
        <v>5.1999999999999998E-2</v>
      </c>
      <c r="AJ140">
        <v>0.04</v>
      </c>
      <c r="AK140">
        <v>6.0000000000000001E-3</v>
      </c>
      <c r="AL140">
        <v>1.2E-2</v>
      </c>
      <c r="AM140">
        <v>0.03</v>
      </c>
      <c r="AN140">
        <v>1.6E-2</v>
      </c>
      <c r="AO140">
        <v>1.4E-2</v>
      </c>
      <c r="AP140">
        <v>3.1E-2</v>
      </c>
      <c r="AQ140">
        <v>2.1000000000000001E-2</v>
      </c>
      <c r="AR140">
        <v>2.1999999999999999E-2</v>
      </c>
      <c r="AS140">
        <v>0.03</v>
      </c>
      <c r="AT140">
        <v>3.1E-2</v>
      </c>
      <c r="AU140">
        <v>2.8000000000000001E-2</v>
      </c>
      <c r="AV140">
        <v>0.02</v>
      </c>
      <c r="AW140">
        <v>0.08</v>
      </c>
      <c r="AX140">
        <v>4.2000000000000003E-2</v>
      </c>
      <c r="AY140">
        <v>2.1999999999999999E-2</v>
      </c>
      <c r="AZ140">
        <v>1.4999999999999999E-2</v>
      </c>
    </row>
    <row r="141" spans="2:52">
      <c r="C141" t="s">
        <v>58</v>
      </c>
      <c r="D141" t="s">
        <v>2715</v>
      </c>
      <c r="F141" t="s">
        <v>3144</v>
      </c>
      <c r="G141" t="s">
        <v>2744</v>
      </c>
      <c r="H141" t="s">
        <v>176</v>
      </c>
      <c r="I141" t="s">
        <v>304</v>
      </c>
      <c r="K141" t="s">
        <v>3145</v>
      </c>
      <c r="L141">
        <v>0.186</v>
      </c>
      <c r="M141" s="12">
        <v>43396</v>
      </c>
      <c r="N141">
        <v>10</v>
      </c>
      <c r="O141" t="s">
        <v>71</v>
      </c>
      <c r="P141">
        <v>2018</v>
      </c>
      <c r="Q141">
        <v>0.17449999999999999</v>
      </c>
      <c r="R141" s="10"/>
      <c r="S141" s="11">
        <v>0.17449999999999999</v>
      </c>
      <c r="T141" s="8"/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2.1000000000000001E-2</v>
      </c>
      <c r="AR141">
        <v>4.2000000000000003E-2</v>
      </c>
      <c r="AS141">
        <v>5.7000000000000002E-2</v>
      </c>
      <c r="AT141">
        <v>0.10199999999999999</v>
      </c>
      <c r="AU141">
        <v>7.8E-2</v>
      </c>
      <c r="AV141">
        <v>4.8000000000000001E-2</v>
      </c>
      <c r="AW141">
        <v>8.4000000000000005E-2</v>
      </c>
      <c r="AX141">
        <v>6.5000000000000002E-2</v>
      </c>
      <c r="AY141">
        <v>1.2E-2</v>
      </c>
      <c r="AZ141">
        <v>5.0000000000000001E-3</v>
      </c>
    </row>
    <row r="142" spans="2:52">
      <c r="C142" t="s">
        <v>58</v>
      </c>
      <c r="D142" t="s">
        <v>2715</v>
      </c>
      <c r="F142" t="s">
        <v>3146</v>
      </c>
      <c r="G142" t="s">
        <v>3147</v>
      </c>
      <c r="H142" t="s">
        <v>172</v>
      </c>
      <c r="I142" t="s">
        <v>1935</v>
      </c>
      <c r="K142" t="s">
        <v>3148</v>
      </c>
      <c r="L142">
        <v>0.5</v>
      </c>
      <c r="M142" s="12">
        <v>42773</v>
      </c>
      <c r="N142">
        <v>2</v>
      </c>
      <c r="O142" t="s">
        <v>67</v>
      </c>
      <c r="P142">
        <v>2017</v>
      </c>
      <c r="Q142">
        <v>0.1163</v>
      </c>
      <c r="R142" s="10"/>
      <c r="S142" s="11">
        <v>0.1163</v>
      </c>
      <c r="T142" s="8"/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0.12</v>
      </c>
      <c r="AH142">
        <v>0.11</v>
      </c>
      <c r="AI142">
        <v>0.13500000000000001</v>
      </c>
      <c r="AJ142">
        <v>0.153</v>
      </c>
      <c r="AK142">
        <v>0.13200000000000001</v>
      </c>
      <c r="AL142">
        <v>6.8000000000000005E-2</v>
      </c>
      <c r="AM142">
        <v>0.14799999999999999</v>
      </c>
      <c r="AN142">
        <v>7.0999999999999994E-2</v>
      </c>
      <c r="AO142">
        <v>7.0999999999999994E-2</v>
      </c>
      <c r="AP142">
        <v>7.1999999999999995E-2</v>
      </c>
      <c r="AQ142">
        <v>9.7000000000000003E-2</v>
      </c>
      <c r="AR142">
        <v>0.109</v>
      </c>
      <c r="AS142">
        <v>0.11799999999999999</v>
      </c>
      <c r="AT142">
        <v>0.13100000000000001</v>
      </c>
      <c r="AU142">
        <v>0.11700000000000001</v>
      </c>
      <c r="AV142">
        <v>8.3000000000000004E-2</v>
      </c>
      <c r="AW142">
        <v>0.20799999999999999</v>
      </c>
      <c r="AX142">
        <v>0.14899999999999999</v>
      </c>
      <c r="AY142">
        <v>7.8E-2</v>
      </c>
      <c r="AZ142">
        <v>5.1999999999999998E-2</v>
      </c>
    </row>
    <row r="143" spans="2:52">
      <c r="C143" t="s">
        <v>58</v>
      </c>
      <c r="D143" t="s">
        <v>2715</v>
      </c>
      <c r="F143" t="s">
        <v>3146</v>
      </c>
      <c r="G143" t="s">
        <v>3149</v>
      </c>
      <c r="H143" t="s">
        <v>172</v>
      </c>
      <c r="I143" t="s">
        <v>3150</v>
      </c>
      <c r="K143" t="s">
        <v>3151</v>
      </c>
      <c r="L143">
        <v>0.8</v>
      </c>
      <c r="M143" s="12">
        <v>43564</v>
      </c>
      <c r="N143">
        <v>4</v>
      </c>
      <c r="O143" t="s">
        <v>57</v>
      </c>
      <c r="P143">
        <v>2019</v>
      </c>
      <c r="Q143">
        <v>0.1163</v>
      </c>
      <c r="R143" s="10"/>
      <c r="S143" s="11">
        <v>0.1163</v>
      </c>
      <c r="T143" s="8"/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S143">
        <v>0</v>
      </c>
      <c r="AT143">
        <v>0</v>
      </c>
      <c r="AU143">
        <v>0</v>
      </c>
      <c r="AV143">
        <v>0</v>
      </c>
      <c r="AW143">
        <v>0.28499999999999998</v>
      </c>
      <c r="AX143">
        <v>0.2</v>
      </c>
      <c r="AY143">
        <v>0.2</v>
      </c>
      <c r="AZ143">
        <v>0.11</v>
      </c>
    </row>
    <row r="144" spans="2:52">
      <c r="C144" t="s">
        <v>58</v>
      </c>
      <c r="D144" t="s">
        <v>2715</v>
      </c>
      <c r="F144" t="s">
        <v>3152</v>
      </c>
      <c r="M144" s="12"/>
      <c r="Q144">
        <v>0</v>
      </c>
      <c r="R144" s="10"/>
      <c r="S144" s="11">
        <v>0</v>
      </c>
      <c r="T144" s="8"/>
      <c r="U144">
        <v>0.18099999999999999</v>
      </c>
      <c r="V144">
        <v>0.16799999999999998</v>
      </c>
      <c r="W144">
        <v>0.122</v>
      </c>
      <c r="X144">
        <v>0.17300000000000004</v>
      </c>
      <c r="Y144">
        <v>0.18399999999999994</v>
      </c>
      <c r="Z144">
        <v>0.11699999999999999</v>
      </c>
      <c r="AA144">
        <v>7.1999999999999953E-2</v>
      </c>
      <c r="AB144">
        <v>7.3000000000000176E-2</v>
      </c>
      <c r="AC144">
        <v>0.125</v>
      </c>
      <c r="AD144">
        <v>0.21399999999999997</v>
      </c>
      <c r="AE144">
        <v>0.246</v>
      </c>
      <c r="AF144">
        <v>0.22699999999999987</v>
      </c>
      <c r="AG144">
        <v>0.21099999999999999</v>
      </c>
      <c r="AH144">
        <v>0.21099999999999999</v>
      </c>
      <c r="AI144">
        <v>0.26200000000000001</v>
      </c>
      <c r="AJ144">
        <v>1.4999999999999999E-2</v>
      </c>
      <c r="AK144">
        <v>0.13500000000000001</v>
      </c>
      <c r="AL144">
        <v>0.17899999999999999</v>
      </c>
      <c r="AM144">
        <v>0.189</v>
      </c>
      <c r="AN144">
        <v>0.255</v>
      </c>
      <c r="AO144">
        <v>0.191</v>
      </c>
      <c r="AP144">
        <v>0.23899999999999999</v>
      </c>
      <c r="AQ144">
        <v>0.26400000000000001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3:52">
      <c r="C145" t="s">
        <v>58</v>
      </c>
      <c r="D145" t="s">
        <v>2715</v>
      </c>
      <c r="F145" t="s">
        <v>3152</v>
      </c>
      <c r="M145" s="12"/>
      <c r="Q145">
        <v>0</v>
      </c>
      <c r="R145" s="10"/>
      <c r="S145" s="11">
        <v>0</v>
      </c>
      <c r="T145" s="8"/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3:52">
      <c r="C146" t="s">
        <v>58</v>
      </c>
      <c r="D146" t="s">
        <v>2715</v>
      </c>
      <c r="F146" t="s">
        <v>3153</v>
      </c>
      <c r="G146" t="s">
        <v>3154</v>
      </c>
      <c r="H146" t="s">
        <v>62</v>
      </c>
      <c r="K146" t="s">
        <v>3155</v>
      </c>
      <c r="L146">
        <v>0.32500000000000001</v>
      </c>
      <c r="M146" s="12">
        <v>40575</v>
      </c>
      <c r="N146">
        <v>2</v>
      </c>
      <c r="O146" t="s">
        <v>67</v>
      </c>
      <c r="P146">
        <v>2011</v>
      </c>
      <c r="Q146">
        <v>0.1163</v>
      </c>
      <c r="R146" s="10"/>
      <c r="S146" s="11">
        <v>0.1163</v>
      </c>
      <c r="T146" s="8"/>
      <c r="U146">
        <v>2.1000000000000001E-2</v>
      </c>
      <c r="V146">
        <v>3.2000000000000001E-2</v>
      </c>
      <c r="W146">
        <v>7.2000000000000008E-2</v>
      </c>
      <c r="X146">
        <v>4.0000000000000008E-2</v>
      </c>
      <c r="Y146">
        <v>3.6000000000000004E-2</v>
      </c>
      <c r="Z146">
        <v>2.4999999999999994E-2</v>
      </c>
      <c r="AA146">
        <v>2.2999999999999993E-2</v>
      </c>
      <c r="AB146">
        <v>2.4000000000000021E-2</v>
      </c>
      <c r="AC146">
        <v>2.3999999999999966E-2</v>
      </c>
      <c r="AD146">
        <v>3.2000000000000028E-2</v>
      </c>
      <c r="AE146">
        <v>1.9999999999999962E-2</v>
      </c>
      <c r="AF146">
        <v>2.5000000000000022E-2</v>
      </c>
      <c r="AG146">
        <v>2.9000000000000001E-2</v>
      </c>
      <c r="AH146">
        <v>2.5999999999999999E-2</v>
      </c>
      <c r="AI146">
        <v>6.0999999999999999E-2</v>
      </c>
      <c r="AJ146">
        <v>6.9000000000000006E-2</v>
      </c>
      <c r="AK146">
        <v>4.1000000000000002E-2</v>
      </c>
      <c r="AL146">
        <v>2.9000000000000001E-2</v>
      </c>
      <c r="AM146">
        <v>3.6999999999999998E-2</v>
      </c>
      <c r="AN146">
        <v>5.6000000000000001E-2</v>
      </c>
      <c r="AO146">
        <v>4.7E-2</v>
      </c>
      <c r="AP146">
        <v>0.05</v>
      </c>
      <c r="AQ146">
        <v>2.9000000000000001E-2</v>
      </c>
      <c r="AR146">
        <v>3.2000000000000001E-2</v>
      </c>
      <c r="AS146">
        <v>5.5E-2</v>
      </c>
      <c r="AT146">
        <v>5.0999999999999997E-2</v>
      </c>
      <c r="AU146">
        <v>6.5000000000000002E-2</v>
      </c>
      <c r="AV146">
        <v>4.9000000000000002E-2</v>
      </c>
      <c r="AW146">
        <v>8.1000000000000003E-2</v>
      </c>
      <c r="AX146">
        <v>7.0000000000000007E-2</v>
      </c>
      <c r="AY146">
        <v>4.9000000000000002E-2</v>
      </c>
      <c r="AZ146">
        <v>4.3999999999999997E-2</v>
      </c>
    </row>
    <row r="147" spans="3:52">
      <c r="C147" t="s">
        <v>58</v>
      </c>
      <c r="D147" t="s">
        <v>2715</v>
      </c>
      <c r="F147" t="s">
        <v>3156</v>
      </c>
      <c r="G147" t="s">
        <v>3157</v>
      </c>
      <c r="H147" t="s">
        <v>176</v>
      </c>
      <c r="I147" t="s">
        <v>3158</v>
      </c>
      <c r="K147" t="s">
        <v>3159</v>
      </c>
      <c r="L147">
        <v>0.15</v>
      </c>
      <c r="M147" s="12">
        <v>40969</v>
      </c>
      <c r="N147">
        <v>3</v>
      </c>
      <c r="O147" t="s">
        <v>67</v>
      </c>
      <c r="P147">
        <v>2012</v>
      </c>
      <c r="Q147">
        <v>0.1163</v>
      </c>
      <c r="R147" s="10"/>
      <c r="S147" s="11">
        <v>0.1163</v>
      </c>
      <c r="T147" s="8"/>
      <c r="U147">
        <v>3.5000000000000003E-2</v>
      </c>
      <c r="V147">
        <v>5.8999999999999997E-2</v>
      </c>
      <c r="W147">
        <v>0.253</v>
      </c>
      <c r="X147">
        <v>0.17000000000000004</v>
      </c>
      <c r="Y147">
        <v>5.699999999999994E-2</v>
      </c>
      <c r="Z147">
        <v>2.5000000000000022E-2</v>
      </c>
      <c r="AA147">
        <v>1.2000000000000011E-2</v>
      </c>
      <c r="AB147">
        <v>5.0000000000000044E-3</v>
      </c>
      <c r="AC147">
        <v>1.8000000000000016E-2</v>
      </c>
      <c r="AD147">
        <v>3.2000000000000028E-2</v>
      </c>
      <c r="AE147">
        <v>3.2999999999999918E-2</v>
      </c>
      <c r="AF147">
        <v>9.2000000000000082E-2</v>
      </c>
      <c r="AG147">
        <v>0.16800000000000001</v>
      </c>
      <c r="AH147">
        <v>0.151</v>
      </c>
      <c r="AI147">
        <v>0.20499999999999999</v>
      </c>
      <c r="AJ147">
        <v>0.21</v>
      </c>
      <c r="AK147">
        <v>6.0999999999999999E-2</v>
      </c>
      <c r="AL147">
        <v>2.4E-2</v>
      </c>
      <c r="AM147">
        <v>4.3999999999999997E-2</v>
      </c>
      <c r="AN147">
        <v>4.2999999999999997E-2</v>
      </c>
      <c r="AO147">
        <v>1.7000000000000001E-2</v>
      </c>
      <c r="AP147">
        <v>3.1E-2</v>
      </c>
      <c r="AQ147">
        <v>4.3999999999999997E-2</v>
      </c>
      <c r="AR147">
        <v>0.05</v>
      </c>
      <c r="AS147">
        <v>7.3999999999999996E-2</v>
      </c>
      <c r="AT147">
        <v>0.13700000000000001</v>
      </c>
      <c r="AU147">
        <v>0.11700000000000001</v>
      </c>
      <c r="AV147">
        <v>6.7000000000000004E-2</v>
      </c>
      <c r="AW147">
        <v>0.186</v>
      </c>
      <c r="AX147">
        <v>0.153</v>
      </c>
      <c r="AY147">
        <v>3.2000000000000001E-2</v>
      </c>
      <c r="AZ147">
        <v>1.9E-2</v>
      </c>
    </row>
    <row r="148" spans="3:52">
      <c r="C148" t="s">
        <v>58</v>
      </c>
      <c r="D148" t="s">
        <v>2715</v>
      </c>
      <c r="F148" t="s">
        <v>3156</v>
      </c>
      <c r="G148" t="s">
        <v>3160</v>
      </c>
      <c r="H148" t="s">
        <v>176</v>
      </c>
      <c r="I148" t="s">
        <v>3161</v>
      </c>
      <c r="K148" t="s">
        <v>3162</v>
      </c>
      <c r="L148">
        <v>0.25</v>
      </c>
      <c r="M148" s="12">
        <v>40299</v>
      </c>
      <c r="N148">
        <v>5</v>
      </c>
      <c r="O148" t="s">
        <v>57</v>
      </c>
      <c r="P148">
        <v>2010</v>
      </c>
      <c r="Q148">
        <v>0.1163</v>
      </c>
      <c r="R148" s="10"/>
      <c r="S148" s="11">
        <v>0.1163</v>
      </c>
      <c r="T148" s="8"/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3:52">
      <c r="C149" t="s">
        <v>58</v>
      </c>
      <c r="D149" t="s">
        <v>2715</v>
      </c>
      <c r="F149" t="s">
        <v>3156</v>
      </c>
      <c r="G149" t="s">
        <v>3163</v>
      </c>
      <c r="H149" t="s">
        <v>176</v>
      </c>
      <c r="I149" t="s">
        <v>304</v>
      </c>
      <c r="K149" t="s">
        <v>3164</v>
      </c>
      <c r="L149">
        <v>0.15</v>
      </c>
      <c r="M149" s="12">
        <v>40640</v>
      </c>
      <c r="N149">
        <v>4</v>
      </c>
      <c r="O149" t="s">
        <v>57</v>
      </c>
      <c r="P149">
        <v>2011</v>
      </c>
      <c r="Q149">
        <v>0.1163</v>
      </c>
      <c r="R149" s="10"/>
      <c r="S149" s="11">
        <v>0.1163</v>
      </c>
      <c r="T149" s="8"/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3:52">
      <c r="C150" t="s">
        <v>58</v>
      </c>
      <c r="D150" t="s">
        <v>2715</v>
      </c>
      <c r="F150" t="s">
        <v>3165</v>
      </c>
      <c r="G150" t="s">
        <v>3166</v>
      </c>
      <c r="H150" t="s">
        <v>198</v>
      </c>
      <c r="I150" t="s">
        <v>653</v>
      </c>
      <c r="K150" t="s">
        <v>3167</v>
      </c>
      <c r="L150">
        <v>0.18</v>
      </c>
      <c r="M150" s="12">
        <v>42880</v>
      </c>
      <c r="N150">
        <v>5</v>
      </c>
      <c r="O150" t="s">
        <v>57</v>
      </c>
      <c r="P150">
        <v>2017</v>
      </c>
      <c r="Q150">
        <v>0.17449999999999999</v>
      </c>
      <c r="R150" s="10">
        <v>0.1</v>
      </c>
      <c r="S150" s="11">
        <v>0.19194999999999998</v>
      </c>
      <c r="T150" s="8">
        <v>43025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2.8000000000000001E-2</v>
      </c>
      <c r="AB150">
        <v>1.5999999999999997E-2</v>
      </c>
      <c r="AC150">
        <v>3.3000000000000002E-2</v>
      </c>
      <c r="AD150">
        <v>4.3999999999999997E-2</v>
      </c>
      <c r="AE150">
        <v>3.7000000000000005E-2</v>
      </c>
      <c r="AF150">
        <v>5.5999999999999994E-2</v>
      </c>
      <c r="AG150">
        <v>4.4999999999999998E-2</v>
      </c>
      <c r="AH150">
        <v>4.1000000000000002E-2</v>
      </c>
      <c r="AI150">
        <v>6.9000000000000006E-2</v>
      </c>
      <c r="AJ150">
        <v>7.0999999999999994E-2</v>
      </c>
      <c r="AK150">
        <v>3.2000000000000001E-2</v>
      </c>
      <c r="AL150">
        <v>2.3E-2</v>
      </c>
      <c r="AM150">
        <v>3.5999999999999997E-2</v>
      </c>
      <c r="AN150">
        <v>1.4E-2</v>
      </c>
      <c r="AO150">
        <v>3.5000000000000003E-2</v>
      </c>
      <c r="AP150">
        <v>4.4999999999999998E-2</v>
      </c>
      <c r="AQ150">
        <v>3.5999999999999997E-2</v>
      </c>
      <c r="AR150">
        <v>4.7E-2</v>
      </c>
      <c r="AS150">
        <v>5.3999999999999999E-2</v>
      </c>
      <c r="AT150">
        <v>5.8000000000000003E-2</v>
      </c>
      <c r="AU150">
        <v>4.3999999999999997E-2</v>
      </c>
      <c r="AV150">
        <v>4.1000000000000002E-2</v>
      </c>
      <c r="AW150">
        <v>6.3E-2</v>
      </c>
      <c r="AX150">
        <v>7.0999999999999994E-2</v>
      </c>
      <c r="AY150">
        <v>3.7999999999999999E-2</v>
      </c>
      <c r="AZ150">
        <v>1.9E-2</v>
      </c>
    </row>
    <row r="151" spans="3:52">
      <c r="C151" t="s">
        <v>58</v>
      </c>
      <c r="D151" t="s">
        <v>2715</v>
      </c>
      <c r="F151" t="s">
        <v>3168</v>
      </c>
      <c r="G151" t="s">
        <v>2744</v>
      </c>
      <c r="H151" t="s">
        <v>233</v>
      </c>
      <c r="I151" t="s">
        <v>2771</v>
      </c>
      <c r="K151" t="s">
        <v>3169</v>
      </c>
      <c r="L151">
        <v>1.1599999999999999</v>
      </c>
      <c r="M151" s="12">
        <v>40640</v>
      </c>
      <c r="N151">
        <v>4</v>
      </c>
      <c r="O151" t="s">
        <v>57</v>
      </c>
      <c r="P151">
        <v>2011</v>
      </c>
      <c r="Q151">
        <v>0.1163</v>
      </c>
      <c r="R151" s="10"/>
      <c r="S151" s="11">
        <v>0.1163</v>
      </c>
      <c r="T151" s="8"/>
      <c r="U151">
        <v>4.4999999999999998E-2</v>
      </c>
      <c r="V151">
        <v>0.36399999999999999</v>
      </c>
      <c r="W151">
        <v>0.59899999999999998</v>
      </c>
      <c r="X151">
        <v>0.47</v>
      </c>
      <c r="Y151">
        <v>0.3580000000000001</v>
      </c>
      <c r="Z151">
        <v>0.29699999999999993</v>
      </c>
      <c r="AA151">
        <v>0.19799999999999995</v>
      </c>
      <c r="AB151">
        <v>1.0000000000000231E-2</v>
      </c>
      <c r="AC151">
        <v>0.16199999999999992</v>
      </c>
      <c r="AD151">
        <v>0.17099999999999982</v>
      </c>
      <c r="AE151">
        <v>0.52700000000000014</v>
      </c>
      <c r="AF151">
        <v>0.5259999999999998</v>
      </c>
      <c r="AG151">
        <v>0.40300000000000002</v>
      </c>
      <c r="AH151">
        <v>0.26400000000000001</v>
      </c>
      <c r="AI151">
        <v>0.44700000000000001</v>
      </c>
      <c r="AJ151">
        <v>0.55900000000000005</v>
      </c>
      <c r="AK151">
        <v>0.23699999999999999</v>
      </c>
      <c r="AL151">
        <v>0.21299999999999999</v>
      </c>
      <c r="AM151">
        <v>0.111</v>
      </c>
      <c r="AN151">
        <v>1.2E-2</v>
      </c>
      <c r="AO151">
        <v>2.1000000000000001E-2</v>
      </c>
      <c r="AP151">
        <v>0.114</v>
      </c>
      <c r="AQ151">
        <v>7.4999999999999997E-2</v>
      </c>
      <c r="AR151">
        <v>0.12</v>
      </c>
      <c r="AS151">
        <v>0.125</v>
      </c>
      <c r="AT151">
        <v>0.26500000000000001</v>
      </c>
      <c r="AU151">
        <v>0.55600000000000005</v>
      </c>
      <c r="AV151">
        <v>0.46</v>
      </c>
      <c r="AW151">
        <v>0.43</v>
      </c>
      <c r="AX151">
        <v>0.26200000000000001</v>
      </c>
      <c r="AY151">
        <v>0.10199999999999999</v>
      </c>
      <c r="AZ151">
        <v>9.5000000000000001E-2</v>
      </c>
    </row>
    <row r="152" spans="3:52">
      <c r="C152" t="s">
        <v>58</v>
      </c>
      <c r="D152" t="s">
        <v>2715</v>
      </c>
      <c r="F152" t="s">
        <v>3170</v>
      </c>
      <c r="G152" t="s">
        <v>2744</v>
      </c>
      <c r="H152" t="s">
        <v>172</v>
      </c>
      <c r="K152" t="s">
        <v>3171</v>
      </c>
      <c r="L152">
        <v>0.19700000000000001</v>
      </c>
      <c r="M152" s="12">
        <v>41998</v>
      </c>
      <c r="N152">
        <v>12</v>
      </c>
      <c r="O152" t="s">
        <v>71</v>
      </c>
      <c r="P152">
        <v>2014</v>
      </c>
      <c r="Q152">
        <v>0.19389999999999999</v>
      </c>
      <c r="R152" s="10"/>
      <c r="S152" s="11">
        <v>0.19389999999999999</v>
      </c>
      <c r="T152" s="8"/>
      <c r="U152">
        <v>0.13300000000000001</v>
      </c>
      <c r="V152">
        <v>0.11699999999999999</v>
      </c>
      <c r="W152">
        <v>0.13100000000000001</v>
      </c>
      <c r="X152">
        <v>0.11799999999999999</v>
      </c>
      <c r="Y152">
        <v>0.13200000000000001</v>
      </c>
      <c r="Z152">
        <v>9.2999999999999972E-2</v>
      </c>
      <c r="AA152">
        <v>9.6999999999999975E-2</v>
      </c>
      <c r="AB152">
        <v>7.5000000000000067E-2</v>
      </c>
      <c r="AC152">
        <v>0.11299999999999988</v>
      </c>
      <c r="AD152">
        <v>0.13300000000000001</v>
      </c>
      <c r="AE152">
        <v>0.12800000000000011</v>
      </c>
      <c r="AF152">
        <v>0.13500000000000001</v>
      </c>
      <c r="AG152">
        <v>0.13500000000000001</v>
      </c>
      <c r="AH152">
        <v>0.121</v>
      </c>
      <c r="AI152">
        <v>0.129</v>
      </c>
      <c r="AJ152">
        <v>0.124</v>
      </c>
      <c r="AK152">
        <v>0.108</v>
      </c>
      <c r="AL152">
        <v>9.4E-2</v>
      </c>
      <c r="AM152">
        <v>0.112</v>
      </c>
      <c r="AN152">
        <v>0.09</v>
      </c>
      <c r="AO152">
        <v>8.2000000000000003E-2</v>
      </c>
      <c r="AP152">
        <v>0.106</v>
      </c>
      <c r="AQ152">
        <v>0.1</v>
      </c>
      <c r="AR152">
        <v>0.123</v>
      </c>
      <c r="AS152">
        <v>0.13500000000000001</v>
      </c>
      <c r="AT152">
        <v>0.124</v>
      </c>
      <c r="AU152">
        <v>0.13400000000000001</v>
      </c>
      <c r="AV152">
        <v>0.112</v>
      </c>
      <c r="AW152">
        <v>0.123</v>
      </c>
      <c r="AX152">
        <v>0.126</v>
      </c>
      <c r="AY152">
        <v>9.4E-2</v>
      </c>
      <c r="AZ152">
        <v>6.3E-2</v>
      </c>
    </row>
    <row r="153" spans="3:52">
      <c r="C153" t="s">
        <v>58</v>
      </c>
      <c r="D153" t="s">
        <v>2715</v>
      </c>
      <c r="F153" t="s">
        <v>3172</v>
      </c>
      <c r="G153" t="s">
        <v>3173</v>
      </c>
      <c r="H153" t="s">
        <v>321</v>
      </c>
      <c r="I153" t="s">
        <v>3174</v>
      </c>
      <c r="K153" t="s">
        <v>3175</v>
      </c>
      <c r="L153">
        <v>0.9</v>
      </c>
      <c r="M153" s="12">
        <v>40360</v>
      </c>
      <c r="N153">
        <v>7</v>
      </c>
      <c r="O153" t="s">
        <v>60</v>
      </c>
      <c r="P153">
        <v>2010</v>
      </c>
      <c r="Q153">
        <v>0.1163</v>
      </c>
      <c r="R153" s="10"/>
      <c r="S153" s="11">
        <v>0.1163</v>
      </c>
      <c r="T153" s="8"/>
      <c r="U153">
        <v>0.27700000000000002</v>
      </c>
      <c r="V153">
        <v>0.28300000000000003</v>
      </c>
      <c r="W153">
        <v>0.5169999999999999</v>
      </c>
      <c r="X153">
        <v>0.36299999999999999</v>
      </c>
      <c r="Y153">
        <v>0.30600000000000005</v>
      </c>
      <c r="Z153">
        <v>0.16799999999999993</v>
      </c>
      <c r="AA153">
        <v>0.1010000000000002</v>
      </c>
      <c r="AB153">
        <v>9.2999999999999972E-2</v>
      </c>
      <c r="AC153">
        <v>0.13600000000000012</v>
      </c>
      <c r="AD153">
        <v>0.25099999999999989</v>
      </c>
      <c r="AE153">
        <v>0.27499999999999991</v>
      </c>
      <c r="AF153">
        <v>0.43699999999999983</v>
      </c>
      <c r="AG153">
        <v>0.46700000000000003</v>
      </c>
      <c r="AH153">
        <v>0.45700000000000002</v>
      </c>
      <c r="AI153">
        <v>0.47099999999999997</v>
      </c>
      <c r="AJ153">
        <v>0.45500000000000002</v>
      </c>
      <c r="AK153">
        <v>0.29199999999999998</v>
      </c>
      <c r="AL153">
        <v>0.17799999999999999</v>
      </c>
      <c r="AM153">
        <v>0.17</v>
      </c>
      <c r="AN153">
        <v>0.188</v>
      </c>
      <c r="AO153">
        <v>0.15</v>
      </c>
      <c r="AP153">
        <v>0.13700000000000001</v>
      </c>
      <c r="AQ153">
        <v>0.153</v>
      </c>
      <c r="AR153">
        <v>0.24099999999999999</v>
      </c>
      <c r="AS153">
        <v>0.308</v>
      </c>
      <c r="AT153">
        <v>0.29899999999999999</v>
      </c>
      <c r="AU153">
        <v>0.311</v>
      </c>
      <c r="AV153">
        <v>0.20399999999999999</v>
      </c>
      <c r="AW153">
        <v>0.40699999999999997</v>
      </c>
      <c r="AX153">
        <v>0.42599999999999999</v>
      </c>
      <c r="AY153">
        <v>0.26800000000000002</v>
      </c>
      <c r="AZ153">
        <v>0.18099999999999999</v>
      </c>
    </row>
    <row r="154" spans="3:52">
      <c r="C154" t="s">
        <v>58</v>
      </c>
      <c r="D154" t="s">
        <v>2715</v>
      </c>
      <c r="F154" t="s">
        <v>3172</v>
      </c>
      <c r="G154" t="s">
        <v>3176</v>
      </c>
      <c r="H154" t="s">
        <v>176</v>
      </c>
      <c r="I154" t="s">
        <v>3128</v>
      </c>
      <c r="K154" t="s">
        <v>3177</v>
      </c>
      <c r="L154">
        <v>0.315</v>
      </c>
      <c r="M154" s="12">
        <v>41746</v>
      </c>
      <c r="N154">
        <v>4</v>
      </c>
      <c r="O154" t="s">
        <v>57</v>
      </c>
      <c r="P154">
        <v>2014</v>
      </c>
      <c r="Q154">
        <v>0.15509999999999999</v>
      </c>
      <c r="R154" s="10"/>
      <c r="S154" s="11">
        <v>0.15509999999999999</v>
      </c>
      <c r="T154" s="8"/>
      <c r="U154">
        <v>5.7000000000000002E-2</v>
      </c>
      <c r="V154">
        <v>6.4000000000000001E-2</v>
      </c>
      <c r="W154">
        <v>0.18099999999999999</v>
      </c>
      <c r="X154">
        <v>0.11699999999999999</v>
      </c>
      <c r="Y154">
        <v>4.7000000000000042E-2</v>
      </c>
      <c r="Z154">
        <v>2.9999999999999971E-2</v>
      </c>
      <c r="AA154">
        <v>1.7000000000000015E-2</v>
      </c>
      <c r="AB154">
        <v>1.7000000000000015E-2</v>
      </c>
      <c r="AC154">
        <v>2.0000000000000018E-2</v>
      </c>
      <c r="AD154">
        <v>4.3999999999999928E-2</v>
      </c>
      <c r="AE154">
        <v>4.2000000000000037E-2</v>
      </c>
      <c r="AF154">
        <v>6.3999999999999946E-2</v>
      </c>
      <c r="AG154">
        <v>6.7000000000000004E-2</v>
      </c>
      <c r="AH154">
        <v>7.0000000000000007E-2</v>
      </c>
      <c r="AI154">
        <v>8.3000000000000004E-2</v>
      </c>
      <c r="AJ154">
        <v>7.5999999999999998E-2</v>
      </c>
      <c r="AK154">
        <v>3.4000000000000002E-2</v>
      </c>
      <c r="AL154">
        <v>8.0000000000000002E-3</v>
      </c>
      <c r="AM154">
        <v>2.8000000000000001E-2</v>
      </c>
      <c r="AN154">
        <v>1.4999999999999999E-2</v>
      </c>
      <c r="AO154">
        <v>0.01</v>
      </c>
      <c r="AP154">
        <v>3.5000000000000003E-2</v>
      </c>
      <c r="AQ154">
        <v>2.5000000000000001E-2</v>
      </c>
      <c r="AR154">
        <v>4.4999999999999998E-2</v>
      </c>
      <c r="AS154">
        <v>6.6000000000000003E-2</v>
      </c>
      <c r="AT154">
        <v>9.9000000000000005E-2</v>
      </c>
      <c r="AU154">
        <v>6.4000000000000001E-2</v>
      </c>
      <c r="AV154">
        <v>4.4999999999999998E-2</v>
      </c>
      <c r="AW154">
        <v>0.13500000000000001</v>
      </c>
      <c r="AX154">
        <v>0.105</v>
      </c>
      <c r="AY154">
        <v>2.1999999999999999E-2</v>
      </c>
      <c r="AZ154">
        <v>1.0999999999999999E-2</v>
      </c>
    </row>
    <row r="155" spans="3:52">
      <c r="C155" t="s">
        <v>58</v>
      </c>
      <c r="D155" t="s">
        <v>2715</v>
      </c>
      <c r="F155" t="s">
        <v>3178</v>
      </c>
      <c r="G155" t="s">
        <v>3179</v>
      </c>
      <c r="H155" t="s">
        <v>198</v>
      </c>
      <c r="I155" t="s">
        <v>3180</v>
      </c>
      <c r="J155" t="s">
        <v>3181</v>
      </c>
      <c r="K155" t="s">
        <v>3182</v>
      </c>
      <c r="L155">
        <v>0.11</v>
      </c>
      <c r="M155" s="12">
        <v>43396</v>
      </c>
      <c r="N155">
        <v>10</v>
      </c>
      <c r="O155" t="s">
        <v>71</v>
      </c>
      <c r="P155">
        <v>2018</v>
      </c>
      <c r="Q155">
        <v>0.17449999999999999</v>
      </c>
      <c r="R155" s="10"/>
      <c r="S155" s="11">
        <v>0.17449999999999999</v>
      </c>
      <c r="T155" s="8"/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6.0000000000000001E-3</v>
      </c>
      <c r="AR155">
        <v>2E-3</v>
      </c>
      <c r="AS155">
        <v>3.0000000000000001E-3</v>
      </c>
      <c r="AT155">
        <v>7.0000000000000001E-3</v>
      </c>
      <c r="AU155">
        <v>5.0000000000000001E-3</v>
      </c>
      <c r="AV155">
        <v>3.0000000000000001E-3</v>
      </c>
      <c r="AW155">
        <v>4.0000000000000001E-3</v>
      </c>
      <c r="AX155">
        <v>2E-3</v>
      </c>
      <c r="AY155">
        <v>1E-3</v>
      </c>
      <c r="AZ155">
        <v>1E-3</v>
      </c>
    </row>
    <row r="156" spans="3:52">
      <c r="C156" t="s">
        <v>58</v>
      </c>
      <c r="D156" t="s">
        <v>2715</v>
      </c>
      <c r="M156" s="12"/>
      <c r="Q156">
        <v>0</v>
      </c>
      <c r="R156" s="10"/>
      <c r="S156" s="11">
        <v>0</v>
      </c>
      <c r="T156" s="8"/>
      <c r="U156">
        <v>5.1999999999999998E-2</v>
      </c>
      <c r="V156">
        <v>5.6000000000000001E-2</v>
      </c>
      <c r="W156">
        <v>2.5000000000000008E-2</v>
      </c>
      <c r="X156">
        <v>0</v>
      </c>
      <c r="Y156">
        <v>3.7000000000000005E-2</v>
      </c>
      <c r="Z156">
        <v>6.7999999999999977E-2</v>
      </c>
      <c r="AA156">
        <v>4.0000000000000036E-2</v>
      </c>
      <c r="AB156">
        <v>5.3999999999999992E-2</v>
      </c>
      <c r="AC156">
        <v>5.7999999999999996E-2</v>
      </c>
      <c r="AD156">
        <v>6.8000000000000005E-2</v>
      </c>
      <c r="AE156">
        <v>6.6000000000000003E-2</v>
      </c>
      <c r="AF156">
        <v>4.8999999999999932E-2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1.9E-2</v>
      </c>
      <c r="AM156">
        <v>3.5000000000000003E-2</v>
      </c>
      <c r="AN156">
        <v>3.5999999999999997E-2</v>
      </c>
      <c r="AO156">
        <v>3.5000000000000003E-2</v>
      </c>
      <c r="AP156">
        <v>3.6999999999999998E-2</v>
      </c>
      <c r="AQ156">
        <v>3.6999999999999998E-2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3:52">
      <c r="C157" t="s">
        <v>58</v>
      </c>
      <c r="D157" t="s">
        <v>2715</v>
      </c>
      <c r="F157" t="s">
        <v>3183</v>
      </c>
      <c r="G157" t="s">
        <v>3184</v>
      </c>
      <c r="H157" t="s">
        <v>176</v>
      </c>
      <c r="J157" t="s">
        <v>3185</v>
      </c>
      <c r="K157" t="s">
        <v>3185</v>
      </c>
      <c r="L157">
        <v>0.13200000000000001</v>
      </c>
      <c r="M157" s="12">
        <v>41270</v>
      </c>
      <c r="N157">
        <v>12</v>
      </c>
      <c r="O157" t="s">
        <v>71</v>
      </c>
      <c r="P157">
        <v>2012</v>
      </c>
      <c r="Q157">
        <v>0.1163</v>
      </c>
      <c r="R157" s="10"/>
      <c r="S157" s="11">
        <v>0.1163</v>
      </c>
      <c r="T157" s="8"/>
      <c r="U157">
        <v>6.0000000000000001E-3</v>
      </c>
      <c r="V157">
        <v>1.1999999999999999E-2</v>
      </c>
      <c r="W157">
        <v>5.1000000000000004E-2</v>
      </c>
      <c r="X157">
        <v>3.2000000000000001E-2</v>
      </c>
      <c r="Y157">
        <v>1.9999999999999879E-3</v>
      </c>
      <c r="Z157">
        <v>4.0000000000000036E-3</v>
      </c>
      <c r="AA157">
        <v>3.0000000000000027E-3</v>
      </c>
      <c r="AB157">
        <v>0</v>
      </c>
      <c r="AC157">
        <v>2.0000000000000018E-3</v>
      </c>
      <c r="AD157">
        <v>5.9999999999999915E-3</v>
      </c>
      <c r="AE157">
        <v>2.0000000000000018E-3</v>
      </c>
      <c r="AF157">
        <v>1.100000000000001E-2</v>
      </c>
      <c r="AG157">
        <v>1.9E-2</v>
      </c>
      <c r="AH157">
        <v>1.4E-2</v>
      </c>
      <c r="AI157">
        <v>3.5000000000000003E-2</v>
      </c>
      <c r="AJ157">
        <v>3.5000000000000003E-2</v>
      </c>
      <c r="AK157">
        <v>1E-3</v>
      </c>
      <c r="AL157">
        <v>2E-3</v>
      </c>
      <c r="AM157">
        <v>1E-3</v>
      </c>
      <c r="AN157">
        <v>2E-3</v>
      </c>
      <c r="AO157">
        <v>3.0000000000000001E-3</v>
      </c>
      <c r="AP157">
        <v>0</v>
      </c>
      <c r="AQ157">
        <v>2E-3</v>
      </c>
      <c r="AR157">
        <v>2E-3</v>
      </c>
      <c r="AS157">
        <v>7.0000000000000001E-3</v>
      </c>
      <c r="AT157">
        <v>2.9000000000000001E-2</v>
      </c>
      <c r="AU157">
        <v>1.0999999999999999E-2</v>
      </c>
      <c r="AV157">
        <v>5.0000000000000001E-3</v>
      </c>
      <c r="AW157">
        <v>2.8000000000000001E-2</v>
      </c>
      <c r="AX157">
        <v>2.5999999999999999E-2</v>
      </c>
      <c r="AY157">
        <v>2E-3</v>
      </c>
      <c r="AZ157">
        <v>1E-3</v>
      </c>
    </row>
    <row r="158" spans="3:52">
      <c r="C158" t="s">
        <v>58</v>
      </c>
      <c r="D158" t="s">
        <v>2715</v>
      </c>
      <c r="F158" t="s">
        <v>3186</v>
      </c>
      <c r="G158" t="s">
        <v>3187</v>
      </c>
      <c r="H158" t="s">
        <v>136</v>
      </c>
      <c r="I158" t="s">
        <v>2818</v>
      </c>
      <c r="J158" t="s">
        <v>3188</v>
      </c>
      <c r="K158" t="s">
        <v>3189</v>
      </c>
      <c r="L158">
        <v>0.2</v>
      </c>
      <c r="M158" s="12">
        <v>43671</v>
      </c>
      <c r="N158">
        <v>7</v>
      </c>
      <c r="O158" t="s">
        <v>60</v>
      </c>
      <c r="P158">
        <v>2019</v>
      </c>
      <c r="Q158">
        <v>0.17449999999999999</v>
      </c>
      <c r="R158" s="10"/>
      <c r="S158" s="11">
        <v>0.17449999999999999</v>
      </c>
      <c r="T158" s="8"/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3:52">
      <c r="C159" t="s">
        <v>58</v>
      </c>
      <c r="D159" t="s">
        <v>2715</v>
      </c>
      <c r="F159" t="s">
        <v>3190</v>
      </c>
      <c r="G159" t="s">
        <v>2744</v>
      </c>
      <c r="H159" t="s">
        <v>62</v>
      </c>
      <c r="I159" t="s">
        <v>3191</v>
      </c>
      <c r="J159" t="s">
        <v>3192</v>
      </c>
      <c r="K159" t="s">
        <v>3193</v>
      </c>
      <c r="L159">
        <v>0.09</v>
      </c>
      <c r="M159" s="12">
        <v>43721</v>
      </c>
      <c r="N159">
        <v>9</v>
      </c>
      <c r="O159" t="s">
        <v>60</v>
      </c>
      <c r="P159">
        <v>2019</v>
      </c>
      <c r="Q159">
        <v>0.17449999999999999</v>
      </c>
      <c r="R159" s="10"/>
      <c r="S159" s="11">
        <v>0.17449999999999999</v>
      </c>
      <c r="T159" s="8"/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3:52">
      <c r="C160" t="s">
        <v>58</v>
      </c>
      <c r="D160" t="s">
        <v>2715</v>
      </c>
      <c r="F160" t="s">
        <v>3194</v>
      </c>
      <c r="G160" t="s">
        <v>2744</v>
      </c>
      <c r="H160" t="s">
        <v>263</v>
      </c>
      <c r="I160" t="s">
        <v>268</v>
      </c>
      <c r="J160" t="s">
        <v>3195</v>
      </c>
      <c r="K160" t="s">
        <v>3196</v>
      </c>
      <c r="L160">
        <v>0.193</v>
      </c>
      <c r="M160" s="12">
        <v>43655</v>
      </c>
      <c r="N160">
        <v>7</v>
      </c>
      <c r="O160" t="s">
        <v>60</v>
      </c>
      <c r="P160">
        <v>2019</v>
      </c>
      <c r="Q160">
        <v>0.17449999999999999</v>
      </c>
      <c r="R160" s="10"/>
      <c r="S160" s="11">
        <v>0.17449999999999999</v>
      </c>
      <c r="T160" s="8"/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0.03</v>
      </c>
    </row>
    <row r="161" spans="3:52">
      <c r="C161" t="s">
        <v>58</v>
      </c>
      <c r="D161" t="s">
        <v>2715</v>
      </c>
      <c r="F161" t="s">
        <v>3197</v>
      </c>
      <c r="G161" t="s">
        <v>3198</v>
      </c>
      <c r="H161" t="s">
        <v>62</v>
      </c>
      <c r="I161" t="s">
        <v>3191</v>
      </c>
      <c r="J161" t="s">
        <v>3199</v>
      </c>
      <c r="K161" t="s">
        <v>3200</v>
      </c>
      <c r="L161">
        <v>0.15</v>
      </c>
      <c r="M161" s="12">
        <v>43676</v>
      </c>
      <c r="N161">
        <v>7</v>
      </c>
      <c r="O161" t="s">
        <v>60</v>
      </c>
      <c r="P161">
        <v>2019</v>
      </c>
      <c r="Q161">
        <v>0.17449999999999999</v>
      </c>
      <c r="R161" s="10"/>
      <c r="S161" s="11">
        <v>0.17449999999999999</v>
      </c>
      <c r="T161" s="8"/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3:52">
      <c r="C162" t="s">
        <v>58</v>
      </c>
      <c r="D162" t="s">
        <v>2715</v>
      </c>
      <c r="F162" t="s">
        <v>3201</v>
      </c>
      <c r="H162" t="s">
        <v>1257</v>
      </c>
      <c r="I162" t="s">
        <v>3202</v>
      </c>
      <c r="J162" t="s">
        <v>3203</v>
      </c>
      <c r="K162" t="s">
        <v>3204</v>
      </c>
      <c r="L162">
        <v>0.2</v>
      </c>
      <c r="M162" s="12">
        <v>43816</v>
      </c>
      <c r="N162">
        <v>12</v>
      </c>
      <c r="O162" t="s">
        <v>71</v>
      </c>
      <c r="P162">
        <v>2019</v>
      </c>
      <c r="Q162">
        <v>0.17449999999999999</v>
      </c>
      <c r="R162" s="10"/>
      <c r="S162" s="11">
        <v>0.17449999999999999</v>
      </c>
      <c r="T162" s="8"/>
    </row>
    <row r="163" spans="3:52">
      <c r="C163" t="s">
        <v>58</v>
      </c>
      <c r="D163" t="s">
        <v>2715</v>
      </c>
      <c r="F163" t="s">
        <v>3205</v>
      </c>
      <c r="H163" t="s">
        <v>233</v>
      </c>
      <c r="I163" t="s">
        <v>3206</v>
      </c>
      <c r="J163" t="s">
        <v>3207</v>
      </c>
      <c r="K163" t="s">
        <v>3208</v>
      </c>
      <c r="L163">
        <v>0.996</v>
      </c>
      <c r="M163" s="12">
        <v>43816</v>
      </c>
      <c r="N163">
        <v>12</v>
      </c>
      <c r="O163" t="s">
        <v>71</v>
      </c>
      <c r="P163">
        <v>2019</v>
      </c>
      <c r="Q163">
        <v>0.13950000000000001</v>
      </c>
      <c r="R163" s="10"/>
      <c r="S163" s="11">
        <v>0.13950000000000001</v>
      </c>
      <c r="T163" s="8"/>
    </row>
    <row r="164" spans="3:52">
      <c r="C164" t="s">
        <v>58</v>
      </c>
      <c r="D164" t="s">
        <v>2715</v>
      </c>
      <c r="F164" t="s">
        <v>3205</v>
      </c>
      <c r="H164" t="s">
        <v>233</v>
      </c>
      <c r="I164" t="s">
        <v>3206</v>
      </c>
      <c r="J164" t="s">
        <v>3207</v>
      </c>
      <c r="K164" t="s">
        <v>3209</v>
      </c>
      <c r="L164">
        <v>0.996</v>
      </c>
      <c r="M164" s="12">
        <v>43816</v>
      </c>
      <c r="N164">
        <v>12</v>
      </c>
      <c r="O164" t="s">
        <v>71</v>
      </c>
      <c r="P164">
        <v>2019</v>
      </c>
      <c r="Q164">
        <v>0.13950000000000001</v>
      </c>
      <c r="R164" s="10"/>
      <c r="S164" s="11">
        <v>0.13950000000000001</v>
      </c>
      <c r="T164" s="8"/>
    </row>
    <row r="165" spans="3:52">
      <c r="C165" t="s">
        <v>58</v>
      </c>
      <c r="D165" t="s">
        <v>2715</v>
      </c>
      <c r="F165" t="s">
        <v>3210</v>
      </c>
      <c r="H165" t="s">
        <v>107</v>
      </c>
      <c r="I165" t="s">
        <v>3211</v>
      </c>
      <c r="J165" t="s">
        <v>3212</v>
      </c>
      <c r="K165" t="s">
        <v>3213</v>
      </c>
      <c r="L165">
        <v>0.13200000000000001</v>
      </c>
      <c r="M165" s="12">
        <v>43819</v>
      </c>
      <c r="N165">
        <v>12</v>
      </c>
      <c r="O165" t="s">
        <v>71</v>
      </c>
      <c r="P165">
        <v>2019</v>
      </c>
      <c r="Q165">
        <v>0.17449999999999999</v>
      </c>
      <c r="R165" s="10">
        <v>0.05</v>
      </c>
      <c r="S165" s="11">
        <v>0.183225</v>
      </c>
      <c r="T165" s="8">
        <v>43854</v>
      </c>
    </row>
    <row r="166" spans="3:52">
      <c r="C166" t="s">
        <v>58</v>
      </c>
      <c r="D166" t="s">
        <v>2715</v>
      </c>
      <c r="F166" t="s">
        <v>3214</v>
      </c>
      <c r="G166" t="s">
        <v>3215</v>
      </c>
      <c r="H166" t="s">
        <v>136</v>
      </c>
      <c r="I166" t="s">
        <v>2833</v>
      </c>
      <c r="J166" t="s">
        <v>3216</v>
      </c>
      <c r="K166" t="s">
        <v>3217</v>
      </c>
      <c r="L166">
        <v>0.184</v>
      </c>
      <c r="M166" s="12">
        <v>43847</v>
      </c>
      <c r="N166">
        <v>1</v>
      </c>
      <c r="O166" t="s">
        <v>67</v>
      </c>
      <c r="P166">
        <v>2020</v>
      </c>
      <c r="Q166">
        <v>0.17449999999999999</v>
      </c>
      <c r="R166" s="10"/>
      <c r="S166" s="11">
        <v>0.17449999999999999</v>
      </c>
      <c r="T166" s="8"/>
    </row>
    <row r="167" spans="3:52">
      <c r="C167" t="s">
        <v>58</v>
      </c>
      <c r="D167" t="s">
        <v>2715</v>
      </c>
      <c r="F167" t="s">
        <v>3210</v>
      </c>
      <c r="G167" t="s">
        <v>3218</v>
      </c>
      <c r="H167" t="s">
        <v>263</v>
      </c>
      <c r="I167" t="s">
        <v>3219</v>
      </c>
      <c r="J167" t="s">
        <v>3220</v>
      </c>
      <c r="K167" s="1" t="s">
        <v>3221</v>
      </c>
      <c r="L167">
        <v>0.45</v>
      </c>
      <c r="M167" s="12">
        <v>43854</v>
      </c>
      <c r="N167">
        <v>1</v>
      </c>
      <c r="O167" t="s">
        <v>67</v>
      </c>
      <c r="P167">
        <v>2020</v>
      </c>
      <c r="Q167">
        <v>0.13950000000000001</v>
      </c>
      <c r="R167" s="10"/>
      <c r="S167" s="11">
        <v>0.13950000000000001</v>
      </c>
      <c r="T167" s="8"/>
    </row>
    <row r="168" spans="3:52">
      <c r="C168" t="s">
        <v>58</v>
      </c>
      <c r="D168" t="s">
        <v>2715</v>
      </c>
      <c r="F168" t="s">
        <v>3222</v>
      </c>
      <c r="G168" t="s">
        <v>2744</v>
      </c>
      <c r="H168" t="s">
        <v>107</v>
      </c>
      <c r="I168" t="s">
        <v>3223</v>
      </c>
      <c r="J168" t="s">
        <v>3224</v>
      </c>
      <c r="K168" t="s">
        <v>3225</v>
      </c>
      <c r="L168">
        <v>0.92700000000000005</v>
      </c>
      <c r="M168" s="12">
        <v>43858</v>
      </c>
      <c r="N168">
        <v>1</v>
      </c>
      <c r="O168" t="s">
        <v>67</v>
      </c>
      <c r="P168">
        <v>2020</v>
      </c>
      <c r="Q168">
        <v>0.13950000000000001</v>
      </c>
      <c r="R168" s="10"/>
      <c r="S168" s="11">
        <v>0.13950000000000001</v>
      </c>
      <c r="T168" s="8"/>
    </row>
    <row r="169" spans="3:52">
      <c r="C169" t="s">
        <v>58</v>
      </c>
      <c r="D169" t="s">
        <v>2715</v>
      </c>
      <c r="F169" t="s">
        <v>3226</v>
      </c>
      <c r="G169" t="s">
        <v>2744</v>
      </c>
      <c r="H169" t="s">
        <v>321</v>
      </c>
      <c r="I169" t="s">
        <v>3227</v>
      </c>
      <c r="J169" t="s">
        <v>3228</v>
      </c>
      <c r="K169" t="s">
        <v>3229</v>
      </c>
      <c r="L169">
        <v>7.4999999999999997E-2</v>
      </c>
      <c r="M169" s="12">
        <v>43861</v>
      </c>
      <c r="N169">
        <v>1</v>
      </c>
      <c r="O169" t="s">
        <v>67</v>
      </c>
      <c r="P169">
        <v>2020</v>
      </c>
      <c r="Q169">
        <v>0.17449999999999999</v>
      </c>
      <c r="R169" s="10"/>
      <c r="S169" s="11">
        <v>0.17449999999999999</v>
      </c>
      <c r="T169" s="8"/>
    </row>
    <row r="170" spans="3:52">
      <c r="C170" t="s">
        <v>58</v>
      </c>
      <c r="D170" t="s">
        <v>2715</v>
      </c>
      <c r="F170" t="s">
        <v>3230</v>
      </c>
      <c r="G170" t="s">
        <v>2744</v>
      </c>
      <c r="H170" t="s">
        <v>198</v>
      </c>
      <c r="I170" t="s">
        <v>571</v>
      </c>
      <c r="J170" t="s">
        <v>3231</v>
      </c>
      <c r="K170" t="s">
        <v>3232</v>
      </c>
      <c r="L170">
        <v>0.09</v>
      </c>
      <c r="M170" s="12">
        <v>43861</v>
      </c>
      <c r="N170">
        <v>1</v>
      </c>
      <c r="O170" t="s">
        <v>67</v>
      </c>
      <c r="P170">
        <v>2020</v>
      </c>
      <c r="Q170">
        <v>0.17449999999999999</v>
      </c>
      <c r="R170" s="10"/>
      <c r="S170" s="11">
        <v>0.17449999999999999</v>
      </c>
      <c r="T170" s="8"/>
    </row>
    <row r="171" spans="3:52">
      <c r="C171" t="s">
        <v>58</v>
      </c>
      <c r="D171" t="s">
        <v>2715</v>
      </c>
      <c r="F171" t="s">
        <v>3233</v>
      </c>
      <c r="G171" t="s">
        <v>3234</v>
      </c>
      <c r="H171" t="s">
        <v>107</v>
      </c>
      <c r="I171" t="s">
        <v>3223</v>
      </c>
      <c r="J171" t="s">
        <v>3235</v>
      </c>
      <c r="K171" t="s">
        <v>3236</v>
      </c>
      <c r="L171" s="30">
        <v>0.1</v>
      </c>
      <c r="M171" s="12">
        <v>43924</v>
      </c>
      <c r="N171">
        <v>4</v>
      </c>
      <c r="O171" t="s">
        <v>67</v>
      </c>
      <c r="P171">
        <v>2020</v>
      </c>
      <c r="Q171">
        <v>0.17449999999999999</v>
      </c>
      <c r="S171" s="11">
        <v>0.17449999999999999</v>
      </c>
      <c r="T171" s="8"/>
    </row>
    <row r="172" spans="3:52">
      <c r="D172" t="s">
        <v>2715</v>
      </c>
      <c r="F172" t="s">
        <v>3237</v>
      </c>
      <c r="H172" t="s">
        <v>172</v>
      </c>
      <c r="K172" t="s">
        <v>3238</v>
      </c>
      <c r="L172">
        <v>0.2</v>
      </c>
      <c r="M172" s="12">
        <v>43957</v>
      </c>
      <c r="N172">
        <v>5</v>
      </c>
      <c r="O172" t="s">
        <v>2678</v>
      </c>
      <c r="P172">
        <v>2020</v>
      </c>
      <c r="Q172">
        <v>0.17449999999999999</v>
      </c>
      <c r="S172" s="11">
        <v>0.17449999999999999</v>
      </c>
      <c r="T172" s="8"/>
    </row>
  </sheetData>
  <conditionalFormatting sqref="R4:R170">
    <cfRule type="cellIs" dxfId="14" priority="2" operator="greaterThan">
      <formula>0</formula>
    </cfRule>
  </conditionalFormatting>
  <conditionalFormatting sqref="T4:T172">
    <cfRule type="cellIs" dxfId="13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Y104"/>
  <sheetViews>
    <sheetView topLeftCell="A63" zoomScale="40" zoomScaleNormal="40" workbookViewId="0">
      <selection activeCell="AG95" sqref="AG95"/>
    </sheetView>
  </sheetViews>
  <sheetFormatPr defaultRowHeight="12.75"/>
  <cols>
    <col min="3" max="3" width="10.140625" customWidth="1"/>
    <col min="4" max="8" width="6.28515625" customWidth="1"/>
    <col min="9" max="9" width="6.7109375" customWidth="1"/>
    <col min="10" max="14" width="6.28515625" customWidth="1"/>
    <col min="16" max="16" width="10.28515625" customWidth="1"/>
    <col min="17" max="17" width="37.28515625" customWidth="1"/>
    <col min="18" max="18" width="12.28515625" customWidth="1"/>
  </cols>
  <sheetData>
    <row r="2" spans="3:19" ht="15.75">
      <c r="C2" s="258" t="s">
        <v>3341</v>
      </c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P2" s="258" t="s">
        <v>3340</v>
      </c>
      <c r="Q2" s="258"/>
      <c r="R2" s="258"/>
      <c r="S2" s="258"/>
    </row>
    <row r="3" spans="3:19" ht="25.5">
      <c r="C3" s="260" t="s">
        <v>2</v>
      </c>
      <c r="D3" s="259" t="s">
        <v>9</v>
      </c>
      <c r="E3" s="259"/>
      <c r="F3" s="259"/>
      <c r="G3" s="259"/>
      <c r="H3" s="259"/>
      <c r="I3" s="259"/>
      <c r="J3" s="259" t="s">
        <v>3335</v>
      </c>
      <c r="K3" s="259"/>
      <c r="L3" s="259"/>
      <c r="M3" s="259"/>
      <c r="N3" s="259"/>
      <c r="P3" s="121" t="s">
        <v>2</v>
      </c>
      <c r="Q3" s="121" t="s">
        <v>3339</v>
      </c>
      <c r="R3" s="121" t="s">
        <v>9</v>
      </c>
      <c r="S3" s="121" t="s">
        <v>3291</v>
      </c>
    </row>
    <row r="4" spans="3:19">
      <c r="C4" s="261"/>
      <c r="D4" s="117" t="s">
        <v>3336</v>
      </c>
      <c r="E4" s="118" t="s">
        <v>3332</v>
      </c>
      <c r="F4" s="117" t="s">
        <v>3333</v>
      </c>
      <c r="G4" s="119" t="s">
        <v>3334</v>
      </c>
      <c r="H4" s="120" t="s">
        <v>3337</v>
      </c>
      <c r="I4" s="70" t="s">
        <v>3241</v>
      </c>
      <c r="J4" s="117" t="s">
        <v>3336</v>
      </c>
      <c r="K4" s="118" t="s">
        <v>3332</v>
      </c>
      <c r="L4" s="117" t="s">
        <v>3333</v>
      </c>
      <c r="M4" s="119" t="s">
        <v>3334</v>
      </c>
      <c r="N4" s="120" t="s">
        <v>3337</v>
      </c>
      <c r="P4" s="33" t="s">
        <v>54</v>
      </c>
      <c r="Q4" s="33" t="s">
        <v>68</v>
      </c>
      <c r="R4" s="88">
        <v>199.875</v>
      </c>
      <c r="S4" s="33">
        <v>0.11310000000000001</v>
      </c>
    </row>
    <row r="5" spans="3:19">
      <c r="C5" s="71" t="s">
        <v>384</v>
      </c>
      <c r="D5" s="115">
        <f>SUMIFS(Таб[Потужність, МВт],Таб[Тип],Лист1!$C$5,Таб[Потужність, МВт],"&lt;1")</f>
        <v>139.2395685096154</v>
      </c>
      <c r="E5" s="115">
        <f>SUMIFS(Таб[Потужність, МВт],Таб[Тип],Лист1!$C$5,Таб[Потужність, МВт],"&gt;=1",Таб[Потужність, МВт],"&lt;5")</f>
        <v>879.01243149038442</v>
      </c>
      <c r="F5" s="115">
        <f>SUMIFS(Таб[Потужність, МВт],Таб[Тип],Лист1!$C$5,Таб[Потужність, МВт],"&gt;=5",Таб[Потужність, МВт],"&lt;10")</f>
        <v>1092.0080000000003</v>
      </c>
      <c r="G5" s="115">
        <f>SUMIFS(Таб[Потужність, МВт],Таб[Тип],Лист1!$C$5,Таб[Потужність, МВт],"&gt;=10",Таб[Потужність, МВт],"&lt;50")</f>
        <v>2741.7729999999983</v>
      </c>
      <c r="H5" s="115">
        <f>SUMIFS(Таб[Потужність, МВт],Таб[Тип],Лист1!$C$5,Таб[Потужність, МВт],"&gt;=50")</f>
        <v>890.96900000000005</v>
      </c>
      <c r="I5" s="115">
        <f>D5+E5+F5+G5+H5</f>
        <v>5743.0019999999986</v>
      </c>
      <c r="J5" s="116">
        <f>D5/$I$5</f>
        <v>2.4245084454021681E-2</v>
      </c>
      <c r="K5" s="116">
        <f>E5/$I$5</f>
        <v>0.1530580054630635</v>
      </c>
      <c r="L5" s="116">
        <f>F5/$I$5</f>
        <v>0.19014585054993896</v>
      </c>
      <c r="M5" s="116">
        <f>G5/$I$5</f>
        <v>0.47741111704296796</v>
      </c>
      <c r="N5" s="116">
        <f>H5/$I$5</f>
        <v>0.1551399424900079</v>
      </c>
      <c r="P5" s="33" t="s">
        <v>54</v>
      </c>
      <c r="Q5" s="33" t="s">
        <v>75</v>
      </c>
      <c r="R5" s="88">
        <v>12.3</v>
      </c>
      <c r="S5" s="33">
        <v>0.11310000000000001</v>
      </c>
    </row>
    <row r="6" spans="3:19">
      <c r="C6" s="33" t="s">
        <v>54</v>
      </c>
      <c r="D6" s="111">
        <f>SUMIFS(Таб[Потужність, МВт],Таб[Тип],Лист1!$C$6,Таб[Потужність, МВт],"&lt;1")</f>
        <v>1.71</v>
      </c>
      <c r="E6" s="111">
        <f>SUMIFS(Таб[Потужність, МВт],Таб[Тип],Лист1!$C$6,Таб[Потужність, МВт],"&gt;=1",Таб[Потужність, МВт],"&lt;5")</f>
        <v>108.85</v>
      </c>
      <c r="F6" s="111">
        <f>SUMIFS(Таб[Потужність, МВт],Таб[Тип],Лист1!$C$6,Таб[Потужність, МВт],"&gt;=5",Таб[Потужність, МВт],"&lt;10")</f>
        <v>112.28999999999996</v>
      </c>
      <c r="G6" s="111">
        <f>SUMIFS(Таб[Потужність, МВт],Таб[Тип],Лист1!$C$6,Таб[Потужність, МВт],"&gt;=10",Таб[Потужність, МВт],"&lt;50")</f>
        <v>467.38</v>
      </c>
      <c r="H6" s="111">
        <f>SUMIFS(Таб[Потужність, МВт],Таб[Тип],Лист1!$C$6,Таб[Потужність, МВт],"&gt;=50")</f>
        <v>423.47500000000002</v>
      </c>
      <c r="I6" s="111">
        <f>D6+E6+F6+G6+H6</f>
        <v>1113.7049999999999</v>
      </c>
      <c r="J6" s="112">
        <f>D6/$I$6</f>
        <v>1.5354155723463574E-3</v>
      </c>
      <c r="K6" s="112">
        <f>E6/$I$6</f>
        <v>9.7736833362515207E-2</v>
      </c>
      <c r="L6" s="112">
        <f>F6/$I$6</f>
        <v>0.10082562258407744</v>
      </c>
      <c r="M6" s="112">
        <f>G6/$I$6</f>
        <v>0.41966229836446817</v>
      </c>
      <c r="N6" s="112">
        <f>H6/$I$6</f>
        <v>0.38023983011659285</v>
      </c>
      <c r="P6" s="33" t="s">
        <v>54</v>
      </c>
      <c r="Q6" s="33" t="s">
        <v>75</v>
      </c>
      <c r="R6" s="88">
        <v>9.2249999999999996</v>
      </c>
      <c r="S6" s="33">
        <v>0.11310000000000001</v>
      </c>
    </row>
    <row r="7" spans="3:19">
      <c r="C7" s="70" t="s">
        <v>3241</v>
      </c>
      <c r="D7" s="113">
        <f>D5+D6</f>
        <v>140.9495685096154</v>
      </c>
      <c r="E7" s="113">
        <f t="shared" ref="E7:I7" si="0">E5+E6</f>
        <v>987.86243149038444</v>
      </c>
      <c r="F7" s="113">
        <f t="shared" si="0"/>
        <v>1204.2980000000002</v>
      </c>
      <c r="G7" s="113">
        <f t="shared" si="0"/>
        <v>3209.1529999999984</v>
      </c>
      <c r="H7" s="113">
        <f t="shared" si="0"/>
        <v>1314.444</v>
      </c>
      <c r="I7" s="113">
        <f t="shared" si="0"/>
        <v>6856.7069999999985</v>
      </c>
      <c r="J7" s="114">
        <f>D7/$I$7</f>
        <v>2.0556452027134225E-2</v>
      </c>
      <c r="K7" s="114">
        <f>E7/$I$7</f>
        <v>0.14407242886277402</v>
      </c>
      <c r="L7" s="114">
        <f>F7/$I$7</f>
        <v>0.17563795565422302</v>
      </c>
      <c r="M7" s="114">
        <f>G7/$I$7</f>
        <v>0.46803122840162181</v>
      </c>
      <c r="N7" s="114">
        <f>H7/$I$7</f>
        <v>0.19170193505424693</v>
      </c>
      <c r="P7" s="33" t="s">
        <v>54</v>
      </c>
      <c r="Q7" s="33" t="s">
        <v>75</v>
      </c>
      <c r="R7" s="88">
        <v>9.2249999999999996</v>
      </c>
      <c r="S7" s="33">
        <v>0.11310000000000001</v>
      </c>
    </row>
    <row r="8" spans="3:19">
      <c r="P8" s="33" t="s">
        <v>78</v>
      </c>
      <c r="Q8" s="33" t="s">
        <v>79</v>
      </c>
      <c r="R8" s="88">
        <v>30.53</v>
      </c>
      <c r="S8" s="33">
        <v>0.11310000000000001</v>
      </c>
    </row>
    <row r="9" spans="3:19">
      <c r="C9" s="260" t="s">
        <v>2</v>
      </c>
      <c r="D9" s="259" t="s">
        <v>3338</v>
      </c>
      <c r="E9" s="259"/>
      <c r="F9" s="259"/>
      <c r="G9" s="259"/>
      <c r="H9" s="259"/>
      <c r="I9" s="259"/>
      <c r="J9" s="259" t="s">
        <v>3335</v>
      </c>
      <c r="K9" s="259"/>
      <c r="L9" s="259"/>
      <c r="M9" s="259"/>
      <c r="N9" s="259"/>
      <c r="P9" s="33" t="s">
        <v>78</v>
      </c>
      <c r="Q9" s="33" t="s">
        <v>84</v>
      </c>
      <c r="R9" s="88">
        <v>25</v>
      </c>
      <c r="S9" s="33">
        <v>0.11310000000000001</v>
      </c>
    </row>
    <row r="10" spans="3:19">
      <c r="C10" s="261"/>
      <c r="D10" s="117" t="s">
        <v>3336</v>
      </c>
      <c r="E10" s="118" t="s">
        <v>3332</v>
      </c>
      <c r="F10" s="117" t="s">
        <v>3333</v>
      </c>
      <c r="G10" s="119" t="s">
        <v>3334</v>
      </c>
      <c r="H10" s="120" t="s">
        <v>3337</v>
      </c>
      <c r="I10" s="70" t="s">
        <v>3241</v>
      </c>
      <c r="J10" s="117" t="s">
        <v>3336</v>
      </c>
      <c r="K10" s="118" t="s">
        <v>3332</v>
      </c>
      <c r="L10" s="117" t="s">
        <v>3333</v>
      </c>
      <c r="M10" s="119" t="s">
        <v>3334</v>
      </c>
      <c r="N10" s="120" t="s">
        <v>3337</v>
      </c>
      <c r="P10" s="33" t="s">
        <v>78</v>
      </c>
      <c r="Q10" s="33" t="s">
        <v>87</v>
      </c>
      <c r="R10" s="88">
        <v>25</v>
      </c>
      <c r="S10" s="33">
        <v>0.11310000000000001</v>
      </c>
    </row>
    <row r="11" spans="3:19">
      <c r="C11" s="71" t="s">
        <v>384</v>
      </c>
      <c r="D11" s="115">
        <f>COUNTIFS(Таб[Тип],Лист1!$C$5,Таб[Потужність, МВт],"&lt;1")</f>
        <v>370</v>
      </c>
      <c r="E11" s="115">
        <f>COUNTIFS(Таб[Тип],Лист1!$C$5,Таб[Потужність, МВт],"&gt;=1",Таб[Потужність, МВт],"&lt;5")</f>
        <v>357</v>
      </c>
      <c r="F11" s="115">
        <f>COUNTIFS(Таб[Тип],Лист1!$C$5,Таб[Потужність, МВт],"&gt;=5",Таб[Потужність, МВт],"&lt;10")</f>
        <v>154</v>
      </c>
      <c r="G11" s="115">
        <f>COUNTIFS(Таб[Тип],Лист1!$C$5,Таб[Потужність, МВт],"&gt;=10",Таб[Потужність, МВт],"&lt;50")</f>
        <v>165</v>
      </c>
      <c r="H11" s="115">
        <f>COUNTIFS(Таб[Тип],Лист1!$C$5,Таб[Потужність, МВт],"&gt;=50")</f>
        <v>7</v>
      </c>
      <c r="I11" s="115">
        <f>D11+E11+F11+G11+H11</f>
        <v>1053</v>
      </c>
      <c r="J11" s="116">
        <f>D11/$I$11</f>
        <v>0.35137701804368471</v>
      </c>
      <c r="K11" s="116">
        <f>E11/$I$11</f>
        <v>0.33903133903133903</v>
      </c>
      <c r="L11" s="116">
        <f>F11/$I$11</f>
        <v>0.14624881291547959</v>
      </c>
      <c r="M11" s="116">
        <f>G11/$I$11</f>
        <v>0.15669515669515668</v>
      </c>
      <c r="N11" s="116">
        <f>H11/$I$11</f>
        <v>6.6476733143399809E-3</v>
      </c>
      <c r="P11" s="33" t="s">
        <v>78</v>
      </c>
      <c r="Q11" s="33" t="s">
        <v>89</v>
      </c>
      <c r="R11" s="88">
        <v>57.5</v>
      </c>
      <c r="S11" s="33">
        <v>0.11310000000000001</v>
      </c>
    </row>
    <row r="12" spans="3:19">
      <c r="C12" s="33" t="s">
        <v>54</v>
      </c>
      <c r="D12" s="111">
        <f>COUNTIFS(Таб[Тип],Лист1!$C$6,Таб[Потужність, МВт],"&lt;1")</f>
        <v>3</v>
      </c>
      <c r="E12" s="111">
        <f>COUNTIFS(Таб[Тип],Лист1!$C$6,Таб[Потужність, МВт],"&gt;=1",Таб[Потужність, МВт],"&lt;5")</f>
        <v>31</v>
      </c>
      <c r="F12" s="111">
        <f>COUNTIFS(Таб[Тип],Лист1!$C$6,Таб[Потужність, МВт],"&gt;=5",Таб[Потужність, МВт],"&lt;10")</f>
        <v>15</v>
      </c>
      <c r="G12" s="111">
        <f>COUNTIFS(Таб[Тип],Лист1!$C$6,Таб[Потужність, МВт],"&gt;=10",Таб[Потужність, МВт],"&lt;50")</f>
        <v>19</v>
      </c>
      <c r="H12" s="111">
        <f>COUNTIFS(Таб[Тип],Лист1!$C$6,Таб[Потужність, МВт],"&gt;=50")</f>
        <v>4</v>
      </c>
      <c r="I12" s="111">
        <f>D12+E12+F12+G12+H12</f>
        <v>72</v>
      </c>
      <c r="J12" s="112">
        <f>D12/$I$12</f>
        <v>4.1666666666666664E-2</v>
      </c>
      <c r="K12" s="112">
        <f>E12/$I$12</f>
        <v>0.43055555555555558</v>
      </c>
      <c r="L12" s="112">
        <f>F12/$I$12</f>
        <v>0.20833333333333334</v>
      </c>
      <c r="M12" s="112">
        <f>G12/$I$12</f>
        <v>0.2638888888888889</v>
      </c>
      <c r="N12" s="112">
        <f>H12/$I$12</f>
        <v>5.5555555555555552E-2</v>
      </c>
      <c r="P12" s="33" t="s">
        <v>54</v>
      </c>
      <c r="Q12" s="33" t="s">
        <v>92</v>
      </c>
      <c r="R12" s="88">
        <v>30</v>
      </c>
      <c r="S12" s="33">
        <v>0.11310000000000001</v>
      </c>
    </row>
    <row r="13" spans="3:19">
      <c r="C13" s="70" t="s">
        <v>3241</v>
      </c>
      <c r="D13" s="113">
        <f>D11+D12</f>
        <v>373</v>
      </c>
      <c r="E13" s="113">
        <f t="shared" ref="E13" si="1">E11+E12</f>
        <v>388</v>
      </c>
      <c r="F13" s="113">
        <f t="shared" ref="F13" si="2">F11+F12</f>
        <v>169</v>
      </c>
      <c r="G13" s="113">
        <f t="shared" ref="G13" si="3">G11+G12</f>
        <v>184</v>
      </c>
      <c r="H13" s="113">
        <f t="shared" ref="H13" si="4">H11+H12</f>
        <v>11</v>
      </c>
      <c r="I13" s="113">
        <f t="shared" ref="I13" si="5">I11+I12</f>
        <v>1125</v>
      </c>
      <c r="J13" s="114">
        <f>D13/$I$13</f>
        <v>0.33155555555555555</v>
      </c>
      <c r="K13" s="114">
        <f>E13/$I$13</f>
        <v>0.34488888888888891</v>
      </c>
      <c r="L13" s="114">
        <f>F13/$I$13</f>
        <v>0.15022222222222223</v>
      </c>
      <c r="M13" s="114">
        <f>G13/$I$13</f>
        <v>0.16355555555555557</v>
      </c>
      <c r="N13" s="114">
        <f>H13/$I$13</f>
        <v>9.7777777777777776E-3</v>
      </c>
      <c r="P13" s="33" t="s">
        <v>54</v>
      </c>
      <c r="Q13" s="33" t="s">
        <v>92</v>
      </c>
      <c r="R13" s="88">
        <v>12.5</v>
      </c>
      <c r="S13" s="33">
        <v>0.11310000000000001</v>
      </c>
    </row>
    <row r="14" spans="3:19">
      <c r="P14" s="33" t="s">
        <v>54</v>
      </c>
      <c r="Q14" s="33" t="s">
        <v>106</v>
      </c>
      <c r="R14" s="88">
        <v>0.45</v>
      </c>
      <c r="S14" s="33">
        <v>6.4600000000000005E-2</v>
      </c>
    </row>
    <row r="15" spans="3:19">
      <c r="P15" s="33" t="s">
        <v>54</v>
      </c>
      <c r="Q15" s="33" t="s">
        <v>109</v>
      </c>
      <c r="R15" s="88">
        <v>6.6</v>
      </c>
      <c r="S15" s="33">
        <v>0.11310000000000001</v>
      </c>
    </row>
    <row r="16" spans="3:19">
      <c r="P16" s="33" t="s">
        <v>54</v>
      </c>
      <c r="Q16" s="33" t="s">
        <v>110</v>
      </c>
      <c r="R16" s="88">
        <v>2.92</v>
      </c>
      <c r="S16" s="33">
        <v>0.11310000000000001</v>
      </c>
    </row>
    <row r="17" spans="16:23">
      <c r="P17" s="33" t="s">
        <v>54</v>
      </c>
      <c r="Q17" s="33" t="s">
        <v>113</v>
      </c>
      <c r="R17" s="88">
        <v>4.2</v>
      </c>
      <c r="S17" s="33">
        <v>0.1018</v>
      </c>
    </row>
    <row r="18" spans="16:23">
      <c r="P18" s="33" t="s">
        <v>384</v>
      </c>
      <c r="Q18" s="33" t="s">
        <v>399</v>
      </c>
      <c r="R18" s="88">
        <v>2.903</v>
      </c>
      <c r="S18" s="33">
        <v>0.46529999999999999</v>
      </c>
      <c r="V18">
        <f>R18*S18</f>
        <v>1.3507659000000001</v>
      </c>
      <c r="W18">
        <f>R18*0.2197</f>
        <v>0.6377891</v>
      </c>
    </row>
    <row r="19" spans="16:23">
      <c r="P19" s="33" t="s">
        <v>384</v>
      </c>
      <c r="Q19" s="33" t="s">
        <v>413</v>
      </c>
      <c r="R19" s="88">
        <v>1.623</v>
      </c>
      <c r="S19" s="33">
        <v>0.46529999999999999</v>
      </c>
      <c r="V19">
        <f t="shared" ref="V19:V82" si="6">R19*S19</f>
        <v>0.75518189999999996</v>
      </c>
      <c r="W19">
        <f t="shared" ref="W19:W82" si="7">R19*0.2197</f>
        <v>0.35657310000000003</v>
      </c>
    </row>
    <row r="20" spans="16:23">
      <c r="P20" s="33" t="s">
        <v>384</v>
      </c>
      <c r="Q20" s="33" t="s">
        <v>461</v>
      </c>
      <c r="R20" s="88">
        <v>0.999</v>
      </c>
      <c r="S20" s="33">
        <v>0.33929999999999999</v>
      </c>
      <c r="V20">
        <f t="shared" si="6"/>
        <v>0.3389607</v>
      </c>
      <c r="W20">
        <f t="shared" si="7"/>
        <v>0.21948030000000002</v>
      </c>
    </row>
    <row r="21" spans="16:23">
      <c r="P21" s="33" t="s">
        <v>384</v>
      </c>
      <c r="Q21" s="33" t="s">
        <v>470</v>
      </c>
      <c r="R21" s="88">
        <v>2.367</v>
      </c>
      <c r="S21" s="33">
        <v>0.33929999999999999</v>
      </c>
      <c r="V21">
        <f t="shared" si="6"/>
        <v>0.80312309999999998</v>
      </c>
      <c r="W21">
        <f t="shared" si="7"/>
        <v>0.52002990000000004</v>
      </c>
    </row>
    <row r="22" spans="16:23">
      <c r="P22" s="33" t="s">
        <v>384</v>
      </c>
      <c r="Q22" s="33" t="s">
        <v>480</v>
      </c>
      <c r="R22" s="88">
        <v>34.14</v>
      </c>
      <c r="S22" s="33">
        <v>0.25850000000000001</v>
      </c>
      <c r="V22">
        <f t="shared" si="6"/>
        <v>8.825190000000001</v>
      </c>
      <c r="W22">
        <f t="shared" si="7"/>
        <v>7.5005580000000007</v>
      </c>
    </row>
    <row r="23" spans="16:23">
      <c r="P23" s="33" t="s">
        <v>384</v>
      </c>
      <c r="Q23" s="33" t="s">
        <v>497</v>
      </c>
      <c r="R23" s="88">
        <v>0.08</v>
      </c>
      <c r="S23" s="33">
        <v>0.30530000000000002</v>
      </c>
      <c r="V23">
        <f t="shared" si="6"/>
        <v>2.4424000000000001E-2</v>
      </c>
      <c r="W23">
        <f t="shared" si="7"/>
        <v>1.7576000000000001E-2</v>
      </c>
    </row>
    <row r="24" spans="16:23">
      <c r="P24" s="33" t="s">
        <v>384</v>
      </c>
      <c r="Q24" s="33" t="s">
        <v>515</v>
      </c>
      <c r="R24" s="88">
        <v>1.002</v>
      </c>
      <c r="S24" s="33">
        <v>0.46529999999999999</v>
      </c>
      <c r="V24">
        <f t="shared" si="6"/>
        <v>0.4662306</v>
      </c>
      <c r="W24">
        <f t="shared" si="7"/>
        <v>0.22013940000000001</v>
      </c>
    </row>
    <row r="25" spans="16:23">
      <c r="P25" s="33" t="s">
        <v>384</v>
      </c>
      <c r="Q25" s="33" t="s">
        <v>519</v>
      </c>
      <c r="R25" s="88">
        <v>0.24084134615384614</v>
      </c>
      <c r="S25" s="33">
        <v>0.46529999999999999</v>
      </c>
      <c r="V25">
        <f t="shared" si="6"/>
        <v>0.11206347836538461</v>
      </c>
      <c r="W25">
        <f t="shared" si="7"/>
        <v>5.2912843750000001E-2</v>
      </c>
    </row>
    <row r="26" spans="16:23">
      <c r="P26" s="33" t="s">
        <v>384</v>
      </c>
      <c r="Q26" s="33" t="s">
        <v>519</v>
      </c>
      <c r="R26" s="88">
        <v>1.3484314903846153</v>
      </c>
      <c r="S26" s="33">
        <v>0.33929999999999999</v>
      </c>
      <c r="V26">
        <f t="shared" si="6"/>
        <v>0.45752280468749995</v>
      </c>
      <c r="W26">
        <f t="shared" si="7"/>
        <v>0.29625039843750001</v>
      </c>
    </row>
    <row r="27" spans="16:23">
      <c r="P27" s="33" t="s">
        <v>384</v>
      </c>
      <c r="Q27" s="33" t="s">
        <v>548</v>
      </c>
      <c r="R27" s="88">
        <v>53.398000000000003</v>
      </c>
      <c r="S27" s="33">
        <v>0.25850000000000001</v>
      </c>
      <c r="V27">
        <f t="shared" si="6"/>
        <v>13.803383000000002</v>
      </c>
      <c r="W27">
        <f t="shared" si="7"/>
        <v>11.731540600000001</v>
      </c>
    </row>
    <row r="28" spans="16:23">
      <c r="P28" s="33" t="s">
        <v>384</v>
      </c>
      <c r="Q28" s="33" t="s">
        <v>562</v>
      </c>
      <c r="R28" s="88">
        <v>3.9929999999999999</v>
      </c>
      <c r="S28" s="33">
        <v>0.33929999999999999</v>
      </c>
      <c r="V28">
        <f t="shared" si="6"/>
        <v>1.3548248999999999</v>
      </c>
      <c r="W28">
        <f t="shared" si="7"/>
        <v>0.87726210000000004</v>
      </c>
    </row>
    <row r="29" spans="16:23">
      <c r="P29" s="33" t="s">
        <v>384</v>
      </c>
      <c r="Q29" s="33" t="s">
        <v>582</v>
      </c>
      <c r="R29" s="88">
        <v>0.628</v>
      </c>
      <c r="S29" s="33">
        <v>0.33929999999999999</v>
      </c>
      <c r="V29">
        <f t="shared" si="6"/>
        <v>0.2130804</v>
      </c>
      <c r="W29">
        <f t="shared" si="7"/>
        <v>0.1379716</v>
      </c>
    </row>
    <row r="30" spans="16:23">
      <c r="P30" s="33" t="s">
        <v>384</v>
      </c>
      <c r="Q30" s="33" t="s">
        <v>582</v>
      </c>
      <c r="R30" s="88">
        <v>0.624</v>
      </c>
      <c r="S30" s="33">
        <v>0.30530000000000002</v>
      </c>
      <c r="V30">
        <f t="shared" si="6"/>
        <v>0.19050720000000002</v>
      </c>
      <c r="W30">
        <f t="shared" si="7"/>
        <v>0.13709280000000001</v>
      </c>
    </row>
    <row r="31" spans="16:23">
      <c r="P31" s="33" t="s">
        <v>384</v>
      </c>
      <c r="Q31" s="33" t="s">
        <v>594</v>
      </c>
      <c r="R31" s="88">
        <v>4.4950000000000001</v>
      </c>
      <c r="S31" s="33">
        <v>0.46529999999999999</v>
      </c>
      <c r="V31">
        <f t="shared" si="6"/>
        <v>2.0915235000000001</v>
      </c>
      <c r="W31">
        <f t="shared" si="7"/>
        <v>0.98755150000000003</v>
      </c>
    </row>
    <row r="32" spans="16:23">
      <c r="P32" s="33" t="s">
        <v>384</v>
      </c>
      <c r="Q32" s="33" t="s">
        <v>656</v>
      </c>
      <c r="R32" s="88">
        <v>21.515999999999998</v>
      </c>
      <c r="S32" s="33">
        <v>0.25850000000000001</v>
      </c>
      <c r="V32">
        <f t="shared" si="6"/>
        <v>5.5618859999999994</v>
      </c>
      <c r="W32">
        <f t="shared" si="7"/>
        <v>4.7270652000000002</v>
      </c>
    </row>
    <row r="33" spans="16:23">
      <c r="P33" s="33" t="s">
        <v>384</v>
      </c>
      <c r="Q33" s="33" t="s">
        <v>660</v>
      </c>
      <c r="R33" s="88">
        <v>21.617999999999999</v>
      </c>
      <c r="S33" s="33">
        <v>0.25850000000000001</v>
      </c>
      <c r="V33">
        <f t="shared" si="6"/>
        <v>5.5882529999999999</v>
      </c>
      <c r="W33">
        <f t="shared" si="7"/>
        <v>4.7494746000000001</v>
      </c>
    </row>
    <row r="34" spans="16:23">
      <c r="P34" s="33" t="s">
        <v>384</v>
      </c>
      <c r="Q34" s="33" t="s">
        <v>672</v>
      </c>
      <c r="R34" s="88">
        <v>0.03</v>
      </c>
      <c r="S34" s="33">
        <v>0.46529999999999999</v>
      </c>
      <c r="V34">
        <f t="shared" si="6"/>
        <v>1.3958999999999999E-2</v>
      </c>
      <c r="W34">
        <f t="shared" si="7"/>
        <v>6.5909999999999996E-3</v>
      </c>
    </row>
    <row r="35" spans="16:23">
      <c r="P35" s="33" t="s">
        <v>384</v>
      </c>
      <c r="Q35" s="33" t="s">
        <v>691</v>
      </c>
      <c r="R35" s="88">
        <v>1</v>
      </c>
      <c r="S35" s="33">
        <v>0.46529999999999999</v>
      </c>
      <c r="V35">
        <f t="shared" si="6"/>
        <v>0.46529999999999999</v>
      </c>
      <c r="W35">
        <f t="shared" si="7"/>
        <v>0.21970000000000001</v>
      </c>
    </row>
    <row r="36" spans="16:23">
      <c r="P36" s="33" t="s">
        <v>384</v>
      </c>
      <c r="Q36" s="33" t="s">
        <v>730</v>
      </c>
      <c r="R36" s="88">
        <v>0.49399999999999999</v>
      </c>
      <c r="S36" s="33">
        <v>0.46529999999999999</v>
      </c>
      <c r="V36">
        <f t="shared" si="6"/>
        <v>0.22985819999999998</v>
      </c>
      <c r="W36">
        <f t="shared" si="7"/>
        <v>0.1085318</v>
      </c>
    </row>
    <row r="37" spans="16:23">
      <c r="P37" s="33" t="s">
        <v>384</v>
      </c>
      <c r="Q37" s="33" t="s">
        <v>730</v>
      </c>
      <c r="R37" s="88">
        <v>1.482</v>
      </c>
      <c r="S37" s="33">
        <v>0.33929999999999999</v>
      </c>
      <c r="V37">
        <f t="shared" si="6"/>
        <v>0.50284260000000003</v>
      </c>
      <c r="W37">
        <f t="shared" si="7"/>
        <v>0.32559539999999998</v>
      </c>
    </row>
    <row r="38" spans="16:23">
      <c r="P38" s="33" t="s">
        <v>384</v>
      </c>
      <c r="Q38" s="33" t="s">
        <v>750</v>
      </c>
      <c r="R38" s="88">
        <v>4.95</v>
      </c>
      <c r="S38" s="33">
        <v>0.33929999999999999</v>
      </c>
      <c r="V38">
        <f t="shared" si="6"/>
        <v>1.679535</v>
      </c>
      <c r="W38">
        <f t="shared" si="7"/>
        <v>1.087515</v>
      </c>
    </row>
    <row r="39" spans="16:23">
      <c r="P39" s="33" t="s">
        <v>384</v>
      </c>
      <c r="Q39" s="33" t="s">
        <v>760</v>
      </c>
      <c r="R39" s="88">
        <v>0.30199999999999999</v>
      </c>
      <c r="S39" s="33">
        <v>0.46529999999999999</v>
      </c>
      <c r="V39">
        <f t="shared" si="6"/>
        <v>0.1405206</v>
      </c>
      <c r="W39">
        <f t="shared" si="7"/>
        <v>6.6349400000000003E-2</v>
      </c>
    </row>
    <row r="40" spans="16:23">
      <c r="P40" s="33" t="s">
        <v>384</v>
      </c>
      <c r="Q40" s="33" t="s">
        <v>763</v>
      </c>
      <c r="R40" s="88">
        <v>0.51100000000000001</v>
      </c>
      <c r="S40" s="33">
        <v>0.33929999999999999</v>
      </c>
      <c r="V40">
        <f t="shared" si="6"/>
        <v>0.17338229999999999</v>
      </c>
      <c r="W40">
        <f t="shared" si="7"/>
        <v>0.11226670000000001</v>
      </c>
    </row>
    <row r="41" spans="16:23">
      <c r="P41" s="33" t="s">
        <v>384</v>
      </c>
      <c r="Q41" s="33" t="s">
        <v>763</v>
      </c>
      <c r="R41" s="88">
        <v>1.472</v>
      </c>
      <c r="S41" s="33">
        <v>0.46529999999999999</v>
      </c>
      <c r="V41">
        <f t="shared" si="6"/>
        <v>0.68492160000000002</v>
      </c>
      <c r="W41">
        <f t="shared" si="7"/>
        <v>0.32339840000000003</v>
      </c>
    </row>
    <row r="42" spans="16:23">
      <c r="P42" s="33" t="s">
        <v>384</v>
      </c>
      <c r="Q42" s="33" t="s">
        <v>763</v>
      </c>
      <c r="R42" s="88">
        <v>1.875</v>
      </c>
      <c r="S42" s="33">
        <v>0.46529999999999999</v>
      </c>
      <c r="V42">
        <f t="shared" si="6"/>
        <v>0.87243749999999998</v>
      </c>
      <c r="W42">
        <f t="shared" si="7"/>
        <v>0.41193750000000001</v>
      </c>
    </row>
    <row r="43" spans="16:23">
      <c r="P43" s="33" t="s">
        <v>384</v>
      </c>
      <c r="Q43" s="33" t="s">
        <v>820</v>
      </c>
      <c r="R43" s="88">
        <v>1.4830000000000001</v>
      </c>
      <c r="S43" s="33">
        <v>0.30530000000000002</v>
      </c>
      <c r="V43">
        <f t="shared" si="6"/>
        <v>0.45275990000000005</v>
      </c>
      <c r="W43">
        <f t="shared" si="7"/>
        <v>0.32581510000000002</v>
      </c>
    </row>
    <row r="44" spans="16:23">
      <c r="P44" s="33" t="s">
        <v>384</v>
      </c>
      <c r="Q44" s="33" t="s">
        <v>845</v>
      </c>
      <c r="R44" s="88">
        <v>1</v>
      </c>
      <c r="S44" s="33">
        <v>0.46529999999999999</v>
      </c>
      <c r="V44">
        <f t="shared" si="6"/>
        <v>0.46529999999999999</v>
      </c>
      <c r="W44">
        <f t="shared" si="7"/>
        <v>0.21970000000000001</v>
      </c>
    </row>
    <row r="45" spans="16:23">
      <c r="P45" s="33" t="s">
        <v>384</v>
      </c>
      <c r="Q45" s="33" t="s">
        <v>909</v>
      </c>
      <c r="R45" s="88">
        <v>21.385000000000002</v>
      </c>
      <c r="S45" s="33">
        <v>0.25850000000000001</v>
      </c>
      <c r="V45">
        <f t="shared" si="6"/>
        <v>5.5280225000000005</v>
      </c>
      <c r="W45">
        <f t="shared" si="7"/>
        <v>4.6982845000000006</v>
      </c>
    </row>
    <row r="46" spans="16:23">
      <c r="P46" s="33" t="s">
        <v>384</v>
      </c>
      <c r="Q46" s="33" t="s">
        <v>912</v>
      </c>
      <c r="R46" s="88">
        <v>21.983000000000001</v>
      </c>
      <c r="S46" s="33">
        <v>0.25850000000000001</v>
      </c>
      <c r="V46">
        <f t="shared" si="6"/>
        <v>5.6826055000000002</v>
      </c>
      <c r="W46">
        <f t="shared" si="7"/>
        <v>4.8296651000000006</v>
      </c>
    </row>
    <row r="47" spans="16:23">
      <c r="P47" s="33" t="s">
        <v>384</v>
      </c>
      <c r="Q47" s="33" t="s">
        <v>946</v>
      </c>
      <c r="R47" s="88">
        <v>29.306999999999999</v>
      </c>
      <c r="S47" s="33">
        <v>0.25850000000000001</v>
      </c>
      <c r="V47">
        <f t="shared" si="6"/>
        <v>7.5758595</v>
      </c>
      <c r="W47">
        <f t="shared" si="7"/>
        <v>6.4387479000000001</v>
      </c>
    </row>
    <row r="48" spans="16:23">
      <c r="P48" s="33" t="s">
        <v>384</v>
      </c>
      <c r="Q48" s="33" t="s">
        <v>949</v>
      </c>
      <c r="R48" s="88">
        <v>6.3500000000000001E-2</v>
      </c>
      <c r="S48" s="33">
        <v>0.33929999999999999</v>
      </c>
      <c r="V48">
        <f t="shared" si="6"/>
        <v>2.154555E-2</v>
      </c>
      <c r="W48">
        <f t="shared" si="7"/>
        <v>1.395095E-2</v>
      </c>
    </row>
    <row r="49" spans="16:23">
      <c r="P49" s="33" t="s">
        <v>384</v>
      </c>
      <c r="Q49" s="33" t="s">
        <v>949</v>
      </c>
      <c r="R49" s="88">
        <v>6.3500000000000001E-2</v>
      </c>
      <c r="S49" s="33">
        <v>0.33929999999999999</v>
      </c>
      <c r="V49">
        <f t="shared" si="6"/>
        <v>2.154555E-2</v>
      </c>
      <c r="W49">
        <f t="shared" si="7"/>
        <v>1.395095E-2</v>
      </c>
    </row>
    <row r="50" spans="16:23">
      <c r="P50" s="33" t="s">
        <v>384</v>
      </c>
      <c r="Q50" s="33" t="s">
        <v>949</v>
      </c>
      <c r="R50" s="88">
        <v>0.20399999999999999</v>
      </c>
      <c r="S50" s="33">
        <v>0.33929999999999999</v>
      </c>
      <c r="V50">
        <f t="shared" si="6"/>
        <v>6.9217199999999993E-2</v>
      </c>
      <c r="W50">
        <f t="shared" si="7"/>
        <v>4.4818799999999999E-2</v>
      </c>
    </row>
    <row r="51" spans="16:23">
      <c r="P51" s="33" t="s">
        <v>384</v>
      </c>
      <c r="Q51" s="33" t="s">
        <v>949</v>
      </c>
      <c r="R51" s="88">
        <v>0.10299999999999999</v>
      </c>
      <c r="S51" s="33">
        <v>0.46529999999999999</v>
      </c>
      <c r="V51">
        <f t="shared" si="6"/>
        <v>4.7925899999999994E-2</v>
      </c>
      <c r="W51">
        <f t="shared" si="7"/>
        <v>2.2629099999999999E-2</v>
      </c>
    </row>
    <row r="52" spans="16:23">
      <c r="P52" s="33" t="s">
        <v>384</v>
      </c>
      <c r="Q52" s="33" t="s">
        <v>949</v>
      </c>
      <c r="R52" s="88">
        <v>0.71499999999999997</v>
      </c>
      <c r="S52" s="33">
        <v>0.46529999999999999</v>
      </c>
      <c r="V52">
        <f t="shared" si="6"/>
        <v>0.33268949999999997</v>
      </c>
      <c r="W52">
        <f t="shared" si="7"/>
        <v>0.15708549999999999</v>
      </c>
    </row>
    <row r="53" spans="16:23">
      <c r="P53" s="33" t="s">
        <v>384</v>
      </c>
      <c r="Q53" s="33" t="s">
        <v>949</v>
      </c>
      <c r="R53" s="88">
        <v>0.71499999999999997</v>
      </c>
      <c r="S53" s="33">
        <v>0.46529999999999999</v>
      </c>
      <c r="V53">
        <f t="shared" si="6"/>
        <v>0.33268949999999997</v>
      </c>
      <c r="W53">
        <f t="shared" si="7"/>
        <v>0.15708549999999999</v>
      </c>
    </row>
    <row r="54" spans="16:23">
      <c r="P54" s="33" t="s">
        <v>384</v>
      </c>
      <c r="Q54" s="33" t="s">
        <v>949</v>
      </c>
      <c r="R54" s="88">
        <v>2.5030000000000001</v>
      </c>
      <c r="S54" s="33">
        <v>0.46529999999999999</v>
      </c>
      <c r="V54">
        <f t="shared" si="6"/>
        <v>1.1646459</v>
      </c>
      <c r="W54">
        <f t="shared" si="7"/>
        <v>0.54990910000000004</v>
      </c>
    </row>
    <row r="55" spans="16:23">
      <c r="P55" s="33" t="s">
        <v>384</v>
      </c>
      <c r="Q55" s="33" t="s">
        <v>983</v>
      </c>
      <c r="R55" s="88">
        <v>1.331</v>
      </c>
      <c r="S55" s="33">
        <v>0.46529999999999999</v>
      </c>
      <c r="V55">
        <f t="shared" si="6"/>
        <v>0.61931429999999998</v>
      </c>
      <c r="W55">
        <f t="shared" si="7"/>
        <v>0.29242069999999998</v>
      </c>
    </row>
    <row r="56" spans="16:23">
      <c r="P56" s="33" t="s">
        <v>384</v>
      </c>
      <c r="Q56" s="33" t="s">
        <v>1011</v>
      </c>
      <c r="R56" s="88">
        <v>7.9820000000000002</v>
      </c>
      <c r="S56" s="33">
        <v>0.33929999999999999</v>
      </c>
      <c r="V56">
        <f t="shared" si="6"/>
        <v>2.7082926</v>
      </c>
      <c r="W56">
        <f t="shared" si="7"/>
        <v>1.7536454000000001</v>
      </c>
    </row>
    <row r="57" spans="16:23">
      <c r="P57" s="33" t="s">
        <v>384</v>
      </c>
      <c r="Q57" s="33" t="s">
        <v>1022</v>
      </c>
      <c r="R57" s="88">
        <v>27.356000000000002</v>
      </c>
      <c r="S57" s="33">
        <v>0.25850000000000001</v>
      </c>
      <c r="V57">
        <f t="shared" si="6"/>
        <v>7.0715260000000004</v>
      </c>
      <c r="W57">
        <f t="shared" si="7"/>
        <v>6.0101132000000002</v>
      </c>
    </row>
    <row r="58" spans="16:23">
      <c r="P58" s="33" t="s">
        <v>384</v>
      </c>
      <c r="Q58" s="33" t="s">
        <v>1025</v>
      </c>
      <c r="R58" s="88">
        <v>27.488</v>
      </c>
      <c r="S58" s="33">
        <v>0.25850000000000001</v>
      </c>
      <c r="V58">
        <f t="shared" si="6"/>
        <v>7.1056480000000004</v>
      </c>
      <c r="W58">
        <f t="shared" si="7"/>
        <v>6.0391136000000003</v>
      </c>
    </row>
    <row r="59" spans="16:23">
      <c r="P59" s="33" t="s">
        <v>384</v>
      </c>
      <c r="Q59" s="33" t="s">
        <v>1035</v>
      </c>
      <c r="R59" s="88">
        <v>7.7450000000000001</v>
      </c>
      <c r="S59" s="33">
        <v>0.33929999999999999</v>
      </c>
      <c r="V59">
        <f t="shared" si="6"/>
        <v>2.6278785</v>
      </c>
      <c r="W59">
        <f t="shared" si="7"/>
        <v>1.7015765</v>
      </c>
    </row>
    <row r="60" spans="16:23">
      <c r="P60" s="33" t="s">
        <v>384</v>
      </c>
      <c r="Q60" s="33" t="s">
        <v>1056</v>
      </c>
      <c r="R60" s="88">
        <v>4.9210000000000003</v>
      </c>
      <c r="S60" s="33">
        <v>0.33929999999999999</v>
      </c>
      <c r="V60">
        <f t="shared" si="6"/>
        <v>1.6696953000000001</v>
      </c>
      <c r="W60">
        <f t="shared" si="7"/>
        <v>1.0811437000000002</v>
      </c>
    </row>
    <row r="61" spans="16:23">
      <c r="P61" s="33" t="s">
        <v>384</v>
      </c>
      <c r="Q61" s="33" t="s">
        <v>1061</v>
      </c>
      <c r="R61" s="88">
        <v>1.3060120068610637</v>
      </c>
      <c r="S61" s="33">
        <v>0.46529999999999999</v>
      </c>
      <c r="V61">
        <f t="shared" si="6"/>
        <v>0.60768738679245293</v>
      </c>
      <c r="W61">
        <f t="shared" si="7"/>
        <v>0.28693083790737567</v>
      </c>
    </row>
    <row r="62" spans="16:23">
      <c r="P62" s="33" t="s">
        <v>384</v>
      </c>
      <c r="Q62" s="33" t="s">
        <v>1061</v>
      </c>
      <c r="R62" s="88">
        <v>2.4794339622641512</v>
      </c>
      <c r="S62" s="33">
        <v>0.33929999999999999</v>
      </c>
      <c r="V62">
        <f t="shared" si="6"/>
        <v>0.84127194339622646</v>
      </c>
      <c r="W62">
        <f t="shared" si="7"/>
        <v>0.54473164150943409</v>
      </c>
    </row>
    <row r="63" spans="16:23">
      <c r="P63" s="33" t="s">
        <v>384</v>
      </c>
      <c r="Q63" s="33" t="s">
        <v>1096</v>
      </c>
      <c r="R63" s="88">
        <v>3.1160000000000001</v>
      </c>
      <c r="S63" s="33">
        <v>0.46529999999999999</v>
      </c>
      <c r="V63">
        <f t="shared" si="6"/>
        <v>1.4498748000000001</v>
      </c>
      <c r="W63">
        <f t="shared" si="7"/>
        <v>0.6845852</v>
      </c>
    </row>
    <row r="64" spans="16:23">
      <c r="P64" s="33" t="s">
        <v>384</v>
      </c>
      <c r="Q64" s="33" t="s">
        <v>1099</v>
      </c>
      <c r="R64" s="88">
        <v>1.0820000000000001</v>
      </c>
      <c r="S64" s="33">
        <v>0.33929999999999999</v>
      </c>
      <c r="V64">
        <f t="shared" si="6"/>
        <v>0.36712260000000002</v>
      </c>
      <c r="W64">
        <f t="shared" si="7"/>
        <v>0.23771540000000002</v>
      </c>
    </row>
    <row r="65" spans="16:23">
      <c r="P65" s="33" t="s">
        <v>384</v>
      </c>
      <c r="Q65" s="33" t="s">
        <v>1166</v>
      </c>
      <c r="R65" s="88">
        <v>1.518</v>
      </c>
      <c r="S65" s="33">
        <v>0.46529999999999999</v>
      </c>
      <c r="V65">
        <f t="shared" si="6"/>
        <v>0.70632539999999999</v>
      </c>
      <c r="W65">
        <f t="shared" si="7"/>
        <v>0.33350460000000004</v>
      </c>
    </row>
    <row r="66" spans="16:23">
      <c r="P66" s="33" t="s">
        <v>384</v>
      </c>
      <c r="Q66" s="33" t="s">
        <v>1166</v>
      </c>
      <c r="R66" s="88">
        <v>2.5</v>
      </c>
      <c r="S66" s="33">
        <v>0.46529999999999999</v>
      </c>
      <c r="V66">
        <f t="shared" si="6"/>
        <v>1.1632499999999999</v>
      </c>
      <c r="W66">
        <f t="shared" si="7"/>
        <v>0.54925000000000002</v>
      </c>
    </row>
    <row r="67" spans="16:23">
      <c r="P67" s="33" t="s">
        <v>384</v>
      </c>
      <c r="Q67" s="33" t="s">
        <v>1226</v>
      </c>
      <c r="R67" s="88">
        <v>1.9890000000000001</v>
      </c>
      <c r="S67" s="33">
        <v>0.33929999999999999</v>
      </c>
      <c r="V67">
        <f t="shared" si="6"/>
        <v>0.67486770000000007</v>
      </c>
      <c r="W67">
        <f t="shared" si="7"/>
        <v>0.43698330000000002</v>
      </c>
    </row>
    <row r="68" spans="16:23">
      <c r="P68" s="33" t="s">
        <v>384</v>
      </c>
      <c r="Q68" s="33" t="s">
        <v>1234</v>
      </c>
      <c r="R68" s="88">
        <v>0.32900000000000001</v>
      </c>
      <c r="S68" s="33">
        <v>0.33929999999999999</v>
      </c>
      <c r="V68">
        <f t="shared" si="6"/>
        <v>0.1116297</v>
      </c>
      <c r="W68">
        <f t="shared" si="7"/>
        <v>7.2281300000000007E-2</v>
      </c>
    </row>
    <row r="69" spans="16:23">
      <c r="P69" s="33" t="s">
        <v>384</v>
      </c>
      <c r="Q69" s="33" t="s">
        <v>1234</v>
      </c>
      <c r="R69" s="88">
        <v>1.319</v>
      </c>
      <c r="S69" s="33">
        <v>0.33929999999999999</v>
      </c>
      <c r="V69">
        <f t="shared" si="6"/>
        <v>0.44753669999999995</v>
      </c>
      <c r="W69">
        <f t="shared" si="7"/>
        <v>0.28978429999999999</v>
      </c>
    </row>
    <row r="70" spans="16:23">
      <c r="P70" s="33" t="s">
        <v>384</v>
      </c>
      <c r="Q70" s="33" t="s">
        <v>1241</v>
      </c>
      <c r="R70" s="88">
        <v>9.8059999999999992</v>
      </c>
      <c r="S70" s="33">
        <v>0.46529999999999999</v>
      </c>
      <c r="V70">
        <f t="shared" si="6"/>
        <v>4.5627317999999999</v>
      </c>
      <c r="W70">
        <f t="shared" si="7"/>
        <v>2.1543782</v>
      </c>
    </row>
    <row r="71" spans="16:23">
      <c r="P71" s="33" t="s">
        <v>384</v>
      </c>
      <c r="Q71" s="33" t="s">
        <v>1273</v>
      </c>
      <c r="R71" s="88">
        <v>2.8029999999999999</v>
      </c>
      <c r="S71" s="33">
        <v>0.46529999999999999</v>
      </c>
      <c r="V71">
        <f t="shared" si="6"/>
        <v>1.3042358999999999</v>
      </c>
      <c r="W71">
        <f t="shared" si="7"/>
        <v>0.61581909999999995</v>
      </c>
    </row>
    <row r="72" spans="16:23">
      <c r="P72" s="33" t="s">
        <v>384</v>
      </c>
      <c r="Q72" s="33" t="s">
        <v>1279</v>
      </c>
      <c r="R72" s="88">
        <v>5.407</v>
      </c>
      <c r="S72" s="33">
        <v>0.46529999999999999</v>
      </c>
      <c r="V72">
        <f t="shared" si="6"/>
        <v>2.5158771</v>
      </c>
      <c r="W72">
        <f t="shared" si="7"/>
        <v>1.1879179</v>
      </c>
    </row>
    <row r="73" spans="16:23">
      <c r="P73" s="33" t="s">
        <v>384</v>
      </c>
      <c r="Q73" s="33" t="s">
        <v>1279</v>
      </c>
      <c r="R73" s="88">
        <v>9.9930000000000003</v>
      </c>
      <c r="S73" s="33">
        <v>0.33929999999999999</v>
      </c>
      <c r="V73">
        <f t="shared" si="6"/>
        <v>3.3906249000000002</v>
      </c>
      <c r="W73">
        <f t="shared" si="7"/>
        <v>2.1954621000000003</v>
      </c>
    </row>
    <row r="74" spans="16:23">
      <c r="P74" s="33" t="s">
        <v>384</v>
      </c>
      <c r="Q74" s="33" t="s">
        <v>1286</v>
      </c>
      <c r="R74" s="88">
        <v>1.1519999999999999</v>
      </c>
      <c r="S74" s="33">
        <v>0.33929999999999999</v>
      </c>
      <c r="V74">
        <f t="shared" si="6"/>
        <v>0.39087359999999993</v>
      </c>
      <c r="W74">
        <f t="shared" si="7"/>
        <v>0.2530944</v>
      </c>
    </row>
    <row r="75" spans="16:23">
      <c r="P75" s="33" t="s">
        <v>384</v>
      </c>
      <c r="Q75" s="33" t="s">
        <v>1299</v>
      </c>
      <c r="R75" s="88">
        <v>1.0069999999999999</v>
      </c>
      <c r="S75" s="33">
        <v>0.33929999999999999</v>
      </c>
      <c r="V75">
        <f t="shared" si="6"/>
        <v>0.34167509999999995</v>
      </c>
      <c r="W75">
        <f t="shared" si="7"/>
        <v>0.22123789999999999</v>
      </c>
    </row>
    <row r="76" spans="16:23">
      <c r="P76" s="33" t="s">
        <v>384</v>
      </c>
      <c r="Q76" s="33" t="s">
        <v>1327</v>
      </c>
      <c r="R76" s="88">
        <v>4.21</v>
      </c>
      <c r="S76" s="33">
        <v>0.33929999999999999</v>
      </c>
      <c r="V76">
        <f t="shared" si="6"/>
        <v>1.428453</v>
      </c>
      <c r="W76">
        <f t="shared" si="7"/>
        <v>0.92493700000000001</v>
      </c>
    </row>
    <row r="77" spans="16:23">
      <c r="P77" s="33" t="s">
        <v>384</v>
      </c>
      <c r="Q77" s="33" t="s">
        <v>1330</v>
      </c>
      <c r="R77" s="88">
        <v>6</v>
      </c>
      <c r="S77" s="33">
        <v>0.46529999999999999</v>
      </c>
      <c r="V77">
        <f t="shared" si="6"/>
        <v>2.7917999999999998</v>
      </c>
      <c r="W77">
        <f t="shared" si="7"/>
        <v>1.3182</v>
      </c>
    </row>
    <row r="78" spans="16:23">
      <c r="P78" s="33" t="s">
        <v>384</v>
      </c>
      <c r="Q78" s="33" t="s">
        <v>1366</v>
      </c>
      <c r="R78" s="88">
        <v>21.77</v>
      </c>
      <c r="S78" s="33">
        <v>0.25850000000000001</v>
      </c>
      <c r="V78">
        <f t="shared" si="6"/>
        <v>5.6275450000000005</v>
      </c>
      <c r="W78">
        <f t="shared" si="7"/>
        <v>4.7828689999999998</v>
      </c>
    </row>
    <row r="79" spans="16:23">
      <c r="P79" s="33" t="s">
        <v>384</v>
      </c>
      <c r="Q79" s="33" t="s">
        <v>1369</v>
      </c>
      <c r="R79" s="88">
        <v>21.181999999999999</v>
      </c>
      <c r="S79" s="33">
        <v>0.25850000000000001</v>
      </c>
      <c r="V79">
        <f t="shared" si="6"/>
        <v>5.4755469999999997</v>
      </c>
      <c r="W79">
        <f t="shared" si="7"/>
        <v>4.6536853999999996</v>
      </c>
    </row>
    <row r="80" spans="16:23">
      <c r="P80" s="33" t="s">
        <v>384</v>
      </c>
      <c r="Q80" s="33" t="s">
        <v>61</v>
      </c>
      <c r="R80" s="88">
        <v>0.13400000000000001</v>
      </c>
      <c r="S80" s="33">
        <v>0.44590000000000002</v>
      </c>
      <c r="V80">
        <f t="shared" si="6"/>
        <v>5.9750600000000008E-2</v>
      </c>
      <c r="W80">
        <f t="shared" si="7"/>
        <v>2.9439800000000002E-2</v>
      </c>
    </row>
    <row r="81" spans="16:23">
      <c r="P81" s="33" t="s">
        <v>384</v>
      </c>
      <c r="Q81" s="33" t="s">
        <v>760</v>
      </c>
      <c r="R81" s="88">
        <v>0.64800000000000002</v>
      </c>
      <c r="S81" s="33">
        <v>0.34899999999999998</v>
      </c>
      <c r="V81">
        <f t="shared" si="6"/>
        <v>0.22615199999999999</v>
      </c>
      <c r="W81">
        <f t="shared" si="7"/>
        <v>0.14236560000000001</v>
      </c>
    </row>
    <row r="82" spans="16:23">
      <c r="P82" s="33" t="s">
        <v>384</v>
      </c>
      <c r="Q82" s="33" t="s">
        <v>1402</v>
      </c>
      <c r="R82" s="88">
        <v>0.107</v>
      </c>
      <c r="S82" s="33">
        <v>0.44590000000000002</v>
      </c>
      <c r="V82">
        <f t="shared" si="6"/>
        <v>4.7711299999999998E-2</v>
      </c>
      <c r="W82">
        <f t="shared" si="7"/>
        <v>2.3507900000000002E-2</v>
      </c>
    </row>
    <row r="83" spans="16:23">
      <c r="P83" s="33" t="s">
        <v>384</v>
      </c>
      <c r="Q83" s="33" t="s">
        <v>61</v>
      </c>
      <c r="R83" s="88">
        <v>2.3E-2</v>
      </c>
      <c r="S83" s="33">
        <v>0.42649999999999999</v>
      </c>
      <c r="V83">
        <f t="shared" ref="V83:V100" si="8">R83*S83</f>
        <v>9.8094999999999988E-3</v>
      </c>
      <c r="W83">
        <f t="shared" ref="W83:W100" si="9">R83*0.2197</f>
        <v>5.0531000000000005E-3</v>
      </c>
    </row>
    <row r="84" spans="16:23">
      <c r="P84" s="33" t="s">
        <v>384</v>
      </c>
      <c r="Q84" s="33" t="s">
        <v>61</v>
      </c>
      <c r="R84" s="88">
        <v>9.9000000000000005E-2</v>
      </c>
      <c r="S84" s="33">
        <v>0.35870000000000002</v>
      </c>
      <c r="V84">
        <f t="shared" si="8"/>
        <v>3.5511300000000003E-2</v>
      </c>
      <c r="W84">
        <f t="shared" si="9"/>
        <v>2.17503E-2</v>
      </c>
    </row>
    <row r="85" spans="16:23">
      <c r="P85" s="33" t="s">
        <v>384</v>
      </c>
      <c r="Q85" s="33" t="s">
        <v>61</v>
      </c>
      <c r="R85" s="88">
        <v>5.8999999999999997E-2</v>
      </c>
      <c r="S85" s="33">
        <v>0.35870000000000002</v>
      </c>
      <c r="V85">
        <f t="shared" si="8"/>
        <v>2.1163299999999999E-2</v>
      </c>
      <c r="W85">
        <f t="shared" si="9"/>
        <v>1.29623E-2</v>
      </c>
    </row>
    <row r="86" spans="16:23">
      <c r="P86" s="33" t="s">
        <v>384</v>
      </c>
      <c r="Q86" s="33" t="s">
        <v>61</v>
      </c>
      <c r="R86" s="88">
        <v>9.9000000000000005E-2</v>
      </c>
      <c r="S86" s="33">
        <v>0.35870000000000002</v>
      </c>
      <c r="V86">
        <f t="shared" si="8"/>
        <v>3.5511300000000003E-2</v>
      </c>
      <c r="W86">
        <f t="shared" si="9"/>
        <v>2.17503E-2</v>
      </c>
    </row>
    <row r="87" spans="16:23">
      <c r="P87" s="33" t="s">
        <v>384</v>
      </c>
      <c r="Q87" s="33" t="s">
        <v>61</v>
      </c>
      <c r="R87" s="88">
        <v>0.1</v>
      </c>
      <c r="S87" s="33">
        <v>0.35870000000000002</v>
      </c>
      <c r="V87">
        <f t="shared" si="8"/>
        <v>3.5870000000000006E-2</v>
      </c>
      <c r="W87">
        <f t="shared" si="9"/>
        <v>2.1970000000000003E-2</v>
      </c>
    </row>
    <row r="88" spans="16:23">
      <c r="P88" s="33" t="s">
        <v>384</v>
      </c>
      <c r="Q88" s="33" t="s">
        <v>61</v>
      </c>
      <c r="R88" s="88">
        <v>0.1</v>
      </c>
      <c r="S88" s="33">
        <v>0.35870000000000002</v>
      </c>
      <c r="V88">
        <f t="shared" si="8"/>
        <v>3.5870000000000006E-2</v>
      </c>
      <c r="W88">
        <f t="shared" si="9"/>
        <v>2.1970000000000003E-2</v>
      </c>
    </row>
    <row r="89" spans="16:23">
      <c r="P89" s="33" t="s">
        <v>384</v>
      </c>
      <c r="Q89" s="33" t="s">
        <v>61</v>
      </c>
      <c r="R89" s="88">
        <v>0.1</v>
      </c>
      <c r="S89" s="33">
        <v>0.35870000000000002</v>
      </c>
      <c r="V89">
        <f t="shared" si="8"/>
        <v>3.5870000000000006E-2</v>
      </c>
      <c r="W89">
        <f t="shared" si="9"/>
        <v>2.1970000000000003E-2</v>
      </c>
    </row>
    <row r="90" spans="16:23">
      <c r="P90" s="33" t="s">
        <v>384</v>
      </c>
      <c r="Q90" s="33" t="s">
        <v>61</v>
      </c>
      <c r="R90" s="88">
        <v>4.3999999999999997E-2</v>
      </c>
      <c r="S90" s="33">
        <v>0.35870000000000002</v>
      </c>
      <c r="V90">
        <f t="shared" si="8"/>
        <v>1.57828E-2</v>
      </c>
      <c r="W90">
        <f t="shared" si="9"/>
        <v>9.6667999999999997E-3</v>
      </c>
    </row>
    <row r="91" spans="16:23">
      <c r="P91" s="33" t="s">
        <v>384</v>
      </c>
      <c r="Q91" s="33" t="s">
        <v>497</v>
      </c>
      <c r="R91" s="88">
        <v>1.6E-2</v>
      </c>
      <c r="S91" s="33">
        <v>0.35870000000000002</v>
      </c>
      <c r="V91">
        <f t="shared" si="8"/>
        <v>5.7392000000000007E-3</v>
      </c>
      <c r="W91">
        <f t="shared" si="9"/>
        <v>3.5152E-3</v>
      </c>
    </row>
    <row r="92" spans="16:23">
      <c r="P92" s="33" t="s">
        <v>384</v>
      </c>
      <c r="Q92" s="33" t="s">
        <v>497</v>
      </c>
      <c r="R92" s="88">
        <v>1.6E-2</v>
      </c>
      <c r="S92" s="33">
        <v>0.35870000000000002</v>
      </c>
      <c r="V92">
        <f t="shared" si="8"/>
        <v>5.7392000000000007E-3</v>
      </c>
      <c r="W92">
        <f t="shared" si="9"/>
        <v>3.5152E-3</v>
      </c>
    </row>
    <row r="93" spans="16:23">
      <c r="P93" s="33" t="s">
        <v>384</v>
      </c>
      <c r="Q93" s="33" t="s">
        <v>497</v>
      </c>
      <c r="R93" s="88">
        <v>1.6E-2</v>
      </c>
      <c r="S93" s="33">
        <v>0.35870000000000002</v>
      </c>
      <c r="V93">
        <f t="shared" si="8"/>
        <v>5.7392000000000007E-3</v>
      </c>
      <c r="W93">
        <f t="shared" si="9"/>
        <v>3.5152E-3</v>
      </c>
    </row>
    <row r="94" spans="16:23">
      <c r="P94" s="33" t="s">
        <v>384</v>
      </c>
      <c r="Q94" s="33" t="s">
        <v>1436</v>
      </c>
      <c r="R94" s="88">
        <v>3.5000000000000003E-2</v>
      </c>
      <c r="S94" s="33">
        <v>0.42649999999999999</v>
      </c>
      <c r="V94">
        <f t="shared" si="8"/>
        <v>1.4927500000000002E-2</v>
      </c>
      <c r="W94">
        <f t="shared" si="9"/>
        <v>7.689500000000001E-3</v>
      </c>
    </row>
    <row r="95" spans="16:23">
      <c r="P95" s="33" t="s">
        <v>384</v>
      </c>
      <c r="Q95" s="33" t="s">
        <v>1439</v>
      </c>
      <c r="R95" s="88">
        <v>7.4999999999999997E-2</v>
      </c>
      <c r="S95" s="33">
        <v>0.42649999999999999</v>
      </c>
      <c r="V95">
        <f t="shared" si="8"/>
        <v>3.1987499999999995E-2</v>
      </c>
      <c r="W95">
        <f t="shared" si="9"/>
        <v>1.6477499999999999E-2</v>
      </c>
    </row>
    <row r="96" spans="16:23">
      <c r="P96" s="33" t="s">
        <v>384</v>
      </c>
      <c r="Q96" s="33" t="s">
        <v>1442</v>
      </c>
      <c r="R96" s="88">
        <v>1.6E-2</v>
      </c>
      <c r="S96" s="33">
        <v>0.35870000000000002</v>
      </c>
      <c r="V96">
        <f t="shared" si="8"/>
        <v>5.7392000000000007E-3</v>
      </c>
      <c r="W96">
        <f t="shared" si="9"/>
        <v>3.5152E-3</v>
      </c>
    </row>
    <row r="97" spans="16:25">
      <c r="P97" s="33" t="s">
        <v>384</v>
      </c>
      <c r="Q97" s="33" t="s">
        <v>1445</v>
      </c>
      <c r="R97" s="88">
        <v>0.1</v>
      </c>
      <c r="S97" s="33">
        <v>0.35870000000000002</v>
      </c>
      <c r="V97">
        <f t="shared" si="8"/>
        <v>3.5870000000000006E-2</v>
      </c>
      <c r="W97">
        <f t="shared" si="9"/>
        <v>2.1970000000000003E-2</v>
      </c>
    </row>
    <row r="98" spans="16:25">
      <c r="P98" s="33" t="s">
        <v>384</v>
      </c>
      <c r="Q98" s="33" t="s">
        <v>1448</v>
      </c>
      <c r="R98" s="88">
        <v>1.6E-2</v>
      </c>
      <c r="S98" s="33">
        <v>0.35870000000000002</v>
      </c>
      <c r="V98">
        <f t="shared" si="8"/>
        <v>5.7392000000000007E-3</v>
      </c>
      <c r="W98">
        <f t="shared" si="9"/>
        <v>3.5152E-3</v>
      </c>
    </row>
    <row r="99" spans="16:25">
      <c r="P99" s="33" t="s">
        <v>384</v>
      </c>
      <c r="Q99" s="33" t="s">
        <v>1451</v>
      </c>
      <c r="R99" s="88">
        <v>3.2000000000000001E-2</v>
      </c>
      <c r="S99" s="33">
        <v>0.35870000000000002</v>
      </c>
      <c r="V99">
        <f t="shared" si="8"/>
        <v>1.1478400000000001E-2</v>
      </c>
      <c r="W99">
        <f t="shared" si="9"/>
        <v>7.0304E-3</v>
      </c>
    </row>
    <row r="100" spans="16:25">
      <c r="P100" s="70" t="s">
        <v>384</v>
      </c>
      <c r="Q100" s="70" t="s">
        <v>1455</v>
      </c>
      <c r="R100" s="134">
        <v>0.03</v>
      </c>
      <c r="S100" s="70">
        <v>0.42649999999999999</v>
      </c>
      <c r="V100">
        <f t="shared" si="8"/>
        <v>1.2794999999999999E-2</v>
      </c>
      <c r="W100">
        <f t="shared" si="9"/>
        <v>6.5909999999999996E-3</v>
      </c>
    </row>
    <row r="101" spans="16:25" ht="13.5" thickBot="1">
      <c r="P101" s="122" t="s">
        <v>3241</v>
      </c>
      <c r="Q101" s="132"/>
      <c r="R101" s="132"/>
      <c r="S101" s="123"/>
      <c r="V101">
        <f>SUM(V18:V100)</f>
        <v>125.09052461324151</v>
      </c>
      <c r="W101">
        <f>SUM(W18:W100)</f>
        <v>92.333916321604292</v>
      </c>
      <c r="Y101" s="149">
        <f>W101/V101-1</f>
        <v>-0.26186322579519949</v>
      </c>
    </row>
    <row r="102" spans="16:25" ht="13.5" thickBot="1">
      <c r="P102" s="124"/>
      <c r="Q102" s="130" t="s">
        <v>54</v>
      </c>
      <c r="R102" s="131">
        <f>SUMIF($P$4:$P$96,Q102,$R$4:$R$96)</f>
        <v>287.29500000000002</v>
      </c>
      <c r="S102" s="125"/>
    </row>
    <row r="103" spans="16:25" ht="13.5" thickBot="1">
      <c r="P103" s="124"/>
      <c r="Q103" s="27" t="s">
        <v>78</v>
      </c>
      <c r="R103" s="133">
        <f>SUMIF($P$4:$P$96,Q103,$R$4:$R$96)</f>
        <v>138.03</v>
      </c>
      <c r="S103" s="125"/>
    </row>
    <row r="104" spans="16:25">
      <c r="P104" s="126"/>
      <c r="Q104" s="127" t="s">
        <v>384</v>
      </c>
      <c r="R104" s="129">
        <f>SUMIF($P$4:$P$96,Q104,$R$4:$R$96)</f>
        <v>420.09471880566372</v>
      </c>
      <c r="S104" s="128"/>
    </row>
  </sheetData>
  <mergeCells count="8">
    <mergeCell ref="P2:S2"/>
    <mergeCell ref="C2:N2"/>
    <mergeCell ref="J3:N3"/>
    <mergeCell ref="J9:N9"/>
    <mergeCell ref="C9:C10"/>
    <mergeCell ref="C3:C4"/>
    <mergeCell ref="D3:I3"/>
    <mergeCell ref="D9:I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Реєстр</vt:lpstr>
      <vt:lpstr>КВВП</vt:lpstr>
      <vt:lpstr>Лист3</vt:lpstr>
      <vt:lpstr>Бенефіціарні власники</vt:lpstr>
      <vt:lpstr>Лист2</vt:lpstr>
      <vt:lpstr>Біо</vt:lpstr>
      <vt:lpstr>СЕС</vt:lpstr>
      <vt:lpstr>мГЕС</vt:lpstr>
      <vt:lpstr>Лист1</vt:lpstr>
      <vt:lpstr>Вст. Потужн</vt:lpstr>
      <vt:lpstr>Sheet6</vt:lpstr>
      <vt:lpstr>ПРОГНОЗ</vt:lpstr>
      <vt:lpstr>дСЕС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Vlasisss</cp:lastModifiedBy>
  <cp:lastPrinted>2020-05-18T13:37:38Z</cp:lastPrinted>
  <dcterms:created xsi:type="dcterms:W3CDTF">2020-05-02T12:01:51Z</dcterms:created>
  <dcterms:modified xsi:type="dcterms:W3CDTF">2020-08-11T13:54:55Z</dcterms:modified>
</cp:coreProperties>
</file>