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"/>
    </mc:Choice>
  </mc:AlternateContent>
  <bookViews>
    <workbookView xWindow="0" yWindow="0" windowWidth="23040" windowHeight="9252" tabRatio="501"/>
  </bookViews>
  <sheets>
    <sheet name="Slab design" sheetId="6" r:id="rId1"/>
    <sheet name="Beam Design" sheetId="9" r:id="rId2"/>
    <sheet name="Column design" sheetId="8" r:id="rId3"/>
    <sheet name="Footing design" sheetId="7" r:id="rId4"/>
    <sheet name="Sheet1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8" i="6" l="1"/>
  <c r="G65" i="6"/>
  <c r="D18" i="9"/>
  <c r="M28" i="6"/>
  <c r="C135" i="10" l="1"/>
  <c r="B135" i="10"/>
  <c r="N130" i="10"/>
  <c r="F129" i="10"/>
  <c r="I129" i="10" s="1"/>
  <c r="C129" i="10"/>
  <c r="B129" i="10"/>
  <c r="L121" i="10"/>
  <c r="E121" i="10"/>
  <c r="E123" i="10" s="1"/>
  <c r="G105" i="10"/>
  <c r="G104" i="10"/>
  <c r="G103" i="10"/>
  <c r="F100" i="10"/>
  <c r="F99" i="10"/>
  <c r="F98" i="10"/>
  <c r="F97" i="10"/>
  <c r="F95" i="10"/>
  <c r="F94" i="10"/>
  <c r="F93" i="10"/>
  <c r="F92" i="10"/>
  <c r="F90" i="10"/>
  <c r="F89" i="10"/>
  <c r="F88" i="10"/>
  <c r="F87" i="10"/>
  <c r="F84" i="10"/>
  <c r="C83" i="10"/>
  <c r="F83" i="10" s="1"/>
  <c r="F81" i="10"/>
  <c r="C80" i="10"/>
  <c r="F80" i="10" s="1"/>
  <c r="F78" i="10"/>
  <c r="C77" i="10"/>
  <c r="F77" i="10" s="1"/>
  <c r="C68" i="10"/>
  <c r="B68" i="10"/>
  <c r="N63" i="10"/>
  <c r="I62" i="10"/>
  <c r="H62" i="10" s="1"/>
  <c r="F62" i="10"/>
  <c r="C62" i="10"/>
  <c r="B62" i="10"/>
  <c r="L56" i="10"/>
  <c r="E54" i="10"/>
  <c r="E56" i="10" s="1"/>
  <c r="G37" i="10"/>
  <c r="G36" i="10"/>
  <c r="G35" i="10"/>
  <c r="F32" i="10"/>
  <c r="F31" i="10"/>
  <c r="F30" i="10"/>
  <c r="F29" i="10"/>
  <c r="F27" i="10"/>
  <c r="F26" i="10"/>
  <c r="F25" i="10"/>
  <c r="F24" i="10"/>
  <c r="F22" i="10"/>
  <c r="F21" i="10"/>
  <c r="F20" i="10"/>
  <c r="F19" i="10"/>
  <c r="F16" i="10"/>
  <c r="C15" i="10"/>
  <c r="F15" i="10" s="1"/>
  <c r="F13" i="10"/>
  <c r="C12" i="10"/>
  <c r="F12" i="10" s="1"/>
  <c r="F10" i="10"/>
  <c r="F9" i="10"/>
  <c r="F5" i="10"/>
  <c r="G5" i="10" s="1"/>
  <c r="F4" i="10"/>
  <c r="G4" i="10" s="1"/>
  <c r="G6" i="10" l="1"/>
  <c r="G107" i="10"/>
  <c r="G108" i="10" s="1"/>
  <c r="G39" i="10"/>
  <c r="G40" i="10" s="1"/>
  <c r="H129" i="10"/>
  <c r="I90" i="9"/>
  <c r="I87" i="9"/>
  <c r="J88" i="9"/>
  <c r="J89" i="9"/>
  <c r="J90" i="9"/>
  <c r="J87" i="9"/>
  <c r="H83" i="9"/>
  <c r="H84" i="9"/>
  <c r="H82" i="9"/>
  <c r="G84" i="9"/>
  <c r="G82" i="9"/>
  <c r="L76" i="9"/>
  <c r="L77" i="9"/>
  <c r="L78" i="9"/>
  <c r="L75" i="9"/>
  <c r="K76" i="9"/>
  <c r="K77" i="9"/>
  <c r="K78" i="9"/>
  <c r="K75" i="9"/>
  <c r="J71" i="9"/>
  <c r="I72" i="9"/>
  <c r="I70" i="9"/>
  <c r="E11" i="9"/>
  <c r="E5" i="9"/>
  <c r="C15" i="9" s="1"/>
  <c r="B8" i="9"/>
  <c r="B78" i="9"/>
  <c r="B90" i="9" s="1"/>
  <c r="B77" i="9"/>
  <c r="B89" i="9" s="1"/>
  <c r="B76" i="9"/>
  <c r="B88" i="9" s="1"/>
  <c r="B75" i="9"/>
  <c r="B87" i="9" s="1"/>
  <c r="J72" i="9"/>
  <c r="B72" i="9"/>
  <c r="B84" i="9" s="1"/>
  <c r="I71" i="9"/>
  <c r="B71" i="9"/>
  <c r="B83" i="9" s="1"/>
  <c r="J70" i="9"/>
  <c r="B70" i="9"/>
  <c r="B82" i="9" s="1"/>
  <c r="B66" i="9"/>
  <c r="F63" i="9"/>
  <c r="F62" i="9"/>
  <c r="D40" i="9"/>
  <c r="D39" i="9"/>
  <c r="D38" i="9"/>
  <c r="D37" i="9"/>
  <c r="D36" i="9"/>
  <c r="D35" i="9"/>
  <c r="D34" i="9"/>
  <c r="D31" i="9"/>
  <c r="D30" i="9"/>
  <c r="D29" i="9"/>
  <c r="D28" i="9"/>
  <c r="D27" i="9"/>
  <c r="D26" i="9"/>
  <c r="D25" i="9"/>
  <c r="F21" i="9"/>
  <c r="J21" i="9" s="1"/>
  <c r="F20" i="9"/>
  <c r="J20" i="9" s="1"/>
  <c r="F19" i="9"/>
  <c r="J19" i="9" s="1"/>
  <c r="F18" i="9"/>
  <c r="J18" i="9" s="1"/>
  <c r="C56" i="9" s="1"/>
  <c r="H56" i="9" s="1"/>
  <c r="E17" i="9"/>
  <c r="J17" i="9" s="1"/>
  <c r="E16" i="9"/>
  <c r="J16" i="9" s="1"/>
  <c r="E15" i="9"/>
  <c r="J15" i="9" s="1"/>
  <c r="E10" i="9"/>
  <c r="A113" i="10" l="1"/>
  <c r="E113" i="10" s="1"/>
  <c r="A129" i="10"/>
  <c r="A45" i="10"/>
  <c r="E45" i="10" s="1"/>
  <c r="A62" i="10"/>
  <c r="C17" i="9"/>
  <c r="D20" i="9"/>
  <c r="D19" i="9"/>
  <c r="E6" i="9"/>
  <c r="C16" i="9"/>
  <c r="D21" i="9"/>
  <c r="G19" i="9"/>
  <c r="C55" i="9"/>
  <c r="I55" i="9" s="1"/>
  <c r="C36" i="9"/>
  <c r="I36" i="9" s="1"/>
  <c r="I56" i="9"/>
  <c r="C37" i="9"/>
  <c r="J56" i="9"/>
  <c r="C57" i="9"/>
  <c r="C38" i="9"/>
  <c r="G78" i="9"/>
  <c r="G75" i="9"/>
  <c r="G17" i="9"/>
  <c r="G15" i="9"/>
  <c r="I15" i="9" s="1"/>
  <c r="G20" i="9"/>
  <c r="G18" i="9"/>
  <c r="G21" i="9"/>
  <c r="G16" i="9"/>
  <c r="C54" i="9"/>
  <c r="C35" i="9"/>
  <c r="C39" i="9"/>
  <c r="C58" i="9"/>
  <c r="C34" i="9"/>
  <c r="C53" i="9"/>
  <c r="C40" i="9"/>
  <c r="C59" i="9"/>
  <c r="G113" i="10" l="1"/>
  <c r="H113" i="10"/>
  <c r="H45" i="10"/>
  <c r="G45" i="10"/>
  <c r="I19" i="9"/>
  <c r="C48" i="9" s="1"/>
  <c r="H48" i="9" s="1"/>
  <c r="G36" i="9"/>
  <c r="J55" i="9"/>
  <c r="I17" i="9"/>
  <c r="C27" i="9" s="1"/>
  <c r="I20" i="9"/>
  <c r="C30" i="9" s="1"/>
  <c r="H36" i="9"/>
  <c r="I18" i="9"/>
  <c r="C47" i="9" s="1"/>
  <c r="I21" i="9"/>
  <c r="C50" i="9" s="1"/>
  <c r="I16" i="9"/>
  <c r="C26" i="9" s="1"/>
  <c r="H55" i="9"/>
  <c r="C29" i="9"/>
  <c r="G29" i="9" s="1"/>
  <c r="G37" i="9"/>
  <c r="H37" i="9"/>
  <c r="I37" i="9"/>
  <c r="C25" i="9"/>
  <c r="C44" i="9"/>
  <c r="I35" i="9"/>
  <c r="H35" i="9"/>
  <c r="G35" i="9"/>
  <c r="J59" i="9"/>
  <c r="I59" i="9"/>
  <c r="H59" i="9"/>
  <c r="H54" i="9"/>
  <c r="I54" i="9"/>
  <c r="J54" i="9"/>
  <c r="H40" i="9"/>
  <c r="G40" i="9"/>
  <c r="I40" i="9"/>
  <c r="H58" i="9"/>
  <c r="J58" i="9"/>
  <c r="I58" i="9"/>
  <c r="I34" i="9"/>
  <c r="H34" i="9"/>
  <c r="G34" i="9"/>
  <c r="H38" i="9"/>
  <c r="G38" i="9"/>
  <c r="I38" i="9"/>
  <c r="J53" i="9"/>
  <c r="I53" i="9"/>
  <c r="H53" i="9"/>
  <c r="I39" i="9"/>
  <c r="H39" i="9"/>
  <c r="G39" i="9"/>
  <c r="J57" i="9"/>
  <c r="I57" i="9"/>
  <c r="H57" i="9"/>
  <c r="C46" i="9" l="1"/>
  <c r="J46" i="9" s="1"/>
  <c r="O46" i="9" s="1"/>
  <c r="C28" i="9"/>
  <c r="I28" i="9" s="1"/>
  <c r="M28" i="9" s="1"/>
  <c r="E75" i="9" s="1"/>
  <c r="H75" i="9" s="1"/>
  <c r="I29" i="9"/>
  <c r="M29" i="9" s="1"/>
  <c r="E76" i="9" s="1"/>
  <c r="H76" i="9" s="1"/>
  <c r="C49" i="9"/>
  <c r="J49" i="9" s="1"/>
  <c r="O49" i="9" s="1"/>
  <c r="C31" i="9"/>
  <c r="H31" i="9" s="1"/>
  <c r="L31" i="9" s="1"/>
  <c r="C45" i="9"/>
  <c r="J45" i="9" s="1"/>
  <c r="O45" i="9" s="1"/>
  <c r="I48" i="9"/>
  <c r="N48" i="9" s="1"/>
  <c r="H29" i="9"/>
  <c r="L29" i="9" s="1"/>
  <c r="D76" i="9" s="1"/>
  <c r="G76" i="9" s="1"/>
  <c r="J48" i="9"/>
  <c r="O48" i="9" s="1"/>
  <c r="I30" i="9"/>
  <c r="M30" i="9" s="1"/>
  <c r="E77" i="9" s="1"/>
  <c r="H77" i="9" s="1"/>
  <c r="G30" i="9"/>
  <c r="K30" i="9" s="1"/>
  <c r="C77" i="9" s="1"/>
  <c r="F77" i="9" s="1"/>
  <c r="H30" i="9"/>
  <c r="L30" i="9" s="1"/>
  <c r="D77" i="9" s="1"/>
  <c r="G77" i="9" s="1"/>
  <c r="J44" i="9"/>
  <c r="O44" i="9" s="1"/>
  <c r="I44" i="9"/>
  <c r="N44" i="9" s="1"/>
  <c r="H44" i="9"/>
  <c r="M44" i="9" s="1"/>
  <c r="I25" i="9"/>
  <c r="M25" i="9" s="1"/>
  <c r="D70" i="9" s="1"/>
  <c r="F70" i="9" s="1"/>
  <c r="G25" i="9"/>
  <c r="K25" i="9" s="1"/>
  <c r="H25" i="9"/>
  <c r="L25" i="9" s="1"/>
  <c r="H47" i="9"/>
  <c r="M47" i="9" s="1"/>
  <c r="J47" i="9"/>
  <c r="O47" i="9" s="1"/>
  <c r="I47" i="9"/>
  <c r="N47" i="9" s="1"/>
  <c r="I26" i="9"/>
  <c r="M26" i="9" s="1"/>
  <c r="D71" i="9" s="1"/>
  <c r="F71" i="9" s="1"/>
  <c r="H26" i="9"/>
  <c r="L26" i="9" s="1"/>
  <c r="G26" i="9"/>
  <c r="K26" i="9" s="1"/>
  <c r="C71" i="9" s="1"/>
  <c r="E71" i="9" s="1"/>
  <c r="M48" i="9"/>
  <c r="K29" i="9"/>
  <c r="C76" i="9" s="1"/>
  <c r="F76" i="9" s="1"/>
  <c r="I27" i="9"/>
  <c r="M27" i="9" s="1"/>
  <c r="D72" i="9" s="1"/>
  <c r="F72" i="9" s="1"/>
  <c r="H27" i="9"/>
  <c r="L27" i="9" s="1"/>
  <c r="G27" i="9"/>
  <c r="K27" i="9" s="1"/>
  <c r="C72" i="9" s="1"/>
  <c r="E72" i="9" s="1"/>
  <c r="I50" i="9"/>
  <c r="N50" i="9" s="1"/>
  <c r="J50" i="9"/>
  <c r="O50" i="9" s="1"/>
  <c r="H50" i="9"/>
  <c r="M50" i="9" s="1"/>
  <c r="I31" i="9"/>
  <c r="M31" i="9" s="1"/>
  <c r="E78" i="9" s="1"/>
  <c r="H78" i="9" s="1"/>
  <c r="G31" i="9"/>
  <c r="K31" i="9" s="1"/>
  <c r="C78" i="9" s="1"/>
  <c r="F78" i="9" s="1"/>
  <c r="B69" i="7"/>
  <c r="B68" i="7"/>
  <c r="B66" i="7"/>
  <c r="B64" i="7"/>
  <c r="B62" i="7"/>
  <c r="B39" i="7"/>
  <c r="H46" i="9" l="1"/>
  <c r="M46" i="9" s="1"/>
  <c r="I46" i="9"/>
  <c r="N46" i="9" s="1"/>
  <c r="G28" i="9"/>
  <c r="K28" i="9" s="1"/>
  <c r="C75" i="9" s="1"/>
  <c r="F75" i="9" s="1"/>
  <c r="H28" i="9"/>
  <c r="L28" i="9" s="1"/>
  <c r="H49" i="9"/>
  <c r="M49" i="9" s="1"/>
  <c r="C89" i="9" s="1"/>
  <c r="F89" i="9" s="1"/>
  <c r="I49" i="9"/>
  <c r="N49" i="9" s="1"/>
  <c r="E89" i="9" s="1"/>
  <c r="H89" i="9" s="1"/>
  <c r="H45" i="9"/>
  <c r="M45" i="9" s="1"/>
  <c r="C83" i="9" s="1"/>
  <c r="E83" i="9" s="1"/>
  <c r="I45" i="9"/>
  <c r="N45" i="9" s="1"/>
  <c r="E90" i="9"/>
  <c r="H90" i="9" s="1"/>
  <c r="N90" i="9"/>
  <c r="D82" i="9"/>
  <c r="F82" i="9" s="1"/>
  <c r="J82" i="9"/>
  <c r="L82" i="9" s="1"/>
  <c r="C84" i="9"/>
  <c r="E84" i="9" s="1"/>
  <c r="I84" i="9"/>
  <c r="K84" i="9" s="1"/>
  <c r="N87" i="9"/>
  <c r="E87" i="9"/>
  <c r="H87" i="9" s="1"/>
  <c r="M87" i="9"/>
  <c r="P87" i="9" s="1"/>
  <c r="D87" i="9"/>
  <c r="G87" i="9" s="1"/>
  <c r="D90" i="9"/>
  <c r="G90" i="9" s="1"/>
  <c r="M90" i="9"/>
  <c r="P90" i="9" s="1"/>
  <c r="L87" i="9"/>
  <c r="O87" i="9" s="1"/>
  <c r="C87" i="9"/>
  <c r="F87" i="9" s="1"/>
  <c r="M88" i="9"/>
  <c r="D88" i="9"/>
  <c r="G88" i="9" s="1"/>
  <c r="C70" i="9"/>
  <c r="E70" i="9" s="1"/>
  <c r="D83" i="9"/>
  <c r="F83" i="9" s="1"/>
  <c r="J83" i="9"/>
  <c r="L83" i="9" s="1"/>
  <c r="L88" i="9"/>
  <c r="C88" i="9"/>
  <c r="F88" i="9" s="1"/>
  <c r="J84" i="9"/>
  <c r="L84" i="9" s="1"/>
  <c r="D84" i="9"/>
  <c r="F84" i="9" s="1"/>
  <c r="E88" i="9"/>
  <c r="H88" i="9" s="1"/>
  <c r="N88" i="9"/>
  <c r="Q88" i="9" s="1"/>
  <c r="L90" i="9"/>
  <c r="O90" i="9" s="1"/>
  <c r="C90" i="9"/>
  <c r="F90" i="9" s="1"/>
  <c r="C82" i="9"/>
  <c r="E82" i="9" s="1"/>
  <c r="I82" i="9"/>
  <c r="K82" i="9" s="1"/>
  <c r="D89" i="9"/>
  <c r="G89" i="9" s="1"/>
  <c r="M89" i="9"/>
  <c r="P89" i="9" s="1"/>
  <c r="K96" i="6"/>
  <c r="J105" i="6"/>
  <c r="N64" i="8"/>
  <c r="C136" i="8"/>
  <c r="B136" i="8"/>
  <c r="N131" i="8"/>
  <c r="C130" i="8"/>
  <c r="B130" i="8"/>
  <c r="F130" i="8"/>
  <c r="I130" i="8" s="1"/>
  <c r="L122" i="8"/>
  <c r="E122" i="8"/>
  <c r="E124" i="8" s="1"/>
  <c r="C78" i="8"/>
  <c r="C81" i="8" s="1"/>
  <c r="F81" i="8" s="1"/>
  <c r="G106" i="8"/>
  <c r="G105" i="8"/>
  <c r="G104" i="8"/>
  <c r="F101" i="8"/>
  <c r="F100" i="8"/>
  <c r="F99" i="8"/>
  <c r="F98" i="8"/>
  <c r="F96" i="8"/>
  <c r="F95" i="8"/>
  <c r="F94" i="8"/>
  <c r="F93" i="8"/>
  <c r="F91" i="8"/>
  <c r="F90" i="8"/>
  <c r="F89" i="8"/>
  <c r="F88" i="8"/>
  <c r="F85" i="8"/>
  <c r="F82" i="8"/>
  <c r="F79" i="8"/>
  <c r="C69" i="8"/>
  <c r="B69" i="8"/>
  <c r="F63" i="8"/>
  <c r="C63" i="8"/>
  <c r="B63" i="8"/>
  <c r="L57" i="8"/>
  <c r="E55" i="8"/>
  <c r="E57" i="8" s="1"/>
  <c r="C16" i="8"/>
  <c r="F16" i="8" s="1"/>
  <c r="C13" i="8"/>
  <c r="F13" i="8" s="1"/>
  <c r="J46" i="6"/>
  <c r="E40" i="6"/>
  <c r="F36" i="6"/>
  <c r="F5" i="8"/>
  <c r="G5" i="8" s="1"/>
  <c r="G38" i="8"/>
  <c r="G37" i="8"/>
  <c r="G36" i="8"/>
  <c r="F33" i="8"/>
  <c r="F32" i="8"/>
  <c r="F31" i="8"/>
  <c r="F30" i="8"/>
  <c r="F28" i="8"/>
  <c r="F27" i="8"/>
  <c r="F26" i="8"/>
  <c r="F25" i="8"/>
  <c r="F23" i="8"/>
  <c r="F22" i="8"/>
  <c r="F21" i="8"/>
  <c r="F20" i="8"/>
  <c r="F17" i="8"/>
  <c r="F14" i="8"/>
  <c r="F11" i="8"/>
  <c r="F10" i="8"/>
  <c r="F6" i="8"/>
  <c r="G6" i="8" s="1"/>
  <c r="B71" i="7"/>
  <c r="B55" i="7"/>
  <c r="B52" i="7"/>
  <c r="I35" i="7"/>
  <c r="J33" i="7"/>
  <c r="B36" i="7"/>
  <c r="B34" i="7"/>
  <c r="H31" i="7"/>
  <c r="B11" i="7"/>
  <c r="L89" i="9" l="1"/>
  <c r="B62" i="9"/>
  <c r="B63" i="9" s="1"/>
  <c r="I83" i="9"/>
  <c r="N89" i="9"/>
  <c r="Q89" i="9" s="1"/>
  <c r="C84" i="8"/>
  <c r="F84" i="8" s="1"/>
  <c r="F78" i="8"/>
  <c r="H130" i="8"/>
  <c r="G108" i="8"/>
  <c r="G109" i="8" s="1"/>
  <c r="I63" i="8"/>
  <c r="H63" i="8" s="1"/>
  <c r="G7" i="8"/>
  <c r="G40" i="8" s="1"/>
  <c r="G41" i="8" s="1"/>
  <c r="B12" i="7"/>
  <c r="B13" i="7" s="1"/>
  <c r="E123" i="6"/>
  <c r="E112" i="6"/>
  <c r="E101" i="6"/>
  <c r="N95" i="6"/>
  <c r="L95" i="6"/>
  <c r="E90" i="6"/>
  <c r="O86" i="6"/>
  <c r="M86" i="6"/>
  <c r="D79" i="6"/>
  <c r="J72" i="6"/>
  <c r="J77" i="6" s="1"/>
  <c r="J68" i="6"/>
  <c r="D47" i="6"/>
  <c r="D50" i="6" s="1"/>
  <c r="F119" i="6" s="1"/>
  <c r="F38" i="6"/>
  <c r="E33" i="6"/>
  <c r="O28" i="6"/>
  <c r="E41" i="6"/>
  <c r="N82" i="6" s="1"/>
  <c r="O27" i="6"/>
  <c r="M27" i="6"/>
  <c r="A114" i="8" l="1"/>
  <c r="E114" i="8" s="1"/>
  <c r="A130" i="8"/>
  <c r="A46" i="8"/>
  <c r="E46" i="8" s="1"/>
  <c r="H46" i="8" s="1"/>
  <c r="A63" i="8"/>
  <c r="B14" i="7"/>
  <c r="B15" i="7" s="1"/>
  <c r="B16" i="7" s="1"/>
  <c r="B21" i="7"/>
  <c r="F95" i="6"/>
  <c r="G95" i="6"/>
  <c r="H95" i="6" s="1"/>
  <c r="J116" i="6"/>
  <c r="E122" i="6" s="1"/>
  <c r="G119" i="6"/>
  <c r="H119" i="6" s="1"/>
  <c r="E124" i="6"/>
  <c r="E113" i="6"/>
  <c r="E102" i="6"/>
  <c r="J73" i="6"/>
  <c r="E91" i="6"/>
  <c r="E43" i="6"/>
  <c r="N81" i="6"/>
  <c r="G54" i="6"/>
  <c r="F117" i="6"/>
  <c r="G117" i="6" s="1"/>
  <c r="H117" i="6" s="1"/>
  <c r="F62" i="6"/>
  <c r="G64" i="6" s="1"/>
  <c r="F86" i="6"/>
  <c r="F84" i="6"/>
  <c r="G84" i="6" s="1"/>
  <c r="H84" i="6" s="1"/>
  <c r="F107" i="6"/>
  <c r="G107" i="6" s="1"/>
  <c r="H107" i="6" s="1"/>
  <c r="F118" i="6"/>
  <c r="G118" i="6" s="1"/>
  <c r="H118" i="6" s="1"/>
  <c r="F87" i="6"/>
  <c r="G87" i="6" s="1"/>
  <c r="H87" i="6" s="1"/>
  <c r="F106" i="6"/>
  <c r="G106" i="6" s="1"/>
  <c r="H106" i="6" s="1"/>
  <c r="F98" i="6"/>
  <c r="G98" i="6" s="1"/>
  <c r="H98" i="6" s="1"/>
  <c r="F109" i="6"/>
  <c r="G109" i="6" s="1"/>
  <c r="H109" i="6" s="1"/>
  <c r="F120" i="6"/>
  <c r="G120" i="6" s="1"/>
  <c r="H120" i="6" s="1"/>
  <c r="F96" i="6"/>
  <c r="G96" i="6" s="1"/>
  <c r="H96" i="6" s="1"/>
  <c r="F85" i="6"/>
  <c r="G85" i="6" s="1"/>
  <c r="H85" i="6" s="1"/>
  <c r="F97" i="6"/>
  <c r="F108" i="6"/>
  <c r="H114" i="8" l="1"/>
  <c r="G114" i="8"/>
  <c r="G46" i="8"/>
  <c r="B25" i="7"/>
  <c r="B27" i="7" s="1"/>
  <c r="B73" i="7"/>
  <c r="B46" i="7"/>
  <c r="G108" i="6"/>
  <c r="H108" i="6" s="1"/>
  <c r="E111" i="6"/>
  <c r="K86" i="6"/>
  <c r="E89" i="6" s="1"/>
  <c r="G86" i="6"/>
  <c r="H86" i="6" s="1"/>
  <c r="E100" i="6"/>
  <c r="G97" i="6"/>
  <c r="H97" i="6" s="1"/>
  <c r="B49" i="7" l="1"/>
  <c r="B58" i="7" s="1"/>
  <c r="L59" i="7"/>
</calcChain>
</file>

<file path=xl/sharedStrings.xml><?xml version="1.0" encoding="utf-8"?>
<sst xmlns="http://schemas.openxmlformats.org/spreadsheetml/2006/main" count="884" uniqueCount="376">
  <si>
    <t>m</t>
  </si>
  <si>
    <t>mm</t>
  </si>
  <si>
    <t xml:space="preserve"> </t>
  </si>
  <si>
    <t>Area of steel required</t>
  </si>
  <si>
    <t>LONGER SPAN</t>
  </si>
  <si>
    <t>SPAN</t>
  </si>
  <si>
    <t>NOTE</t>
  </si>
  <si>
    <t>SHORTER SPAN</t>
  </si>
  <si>
    <t>EFFECTIVE LENGTH</t>
  </si>
  <si>
    <t>Span moment        KN-M</t>
  </si>
  <si>
    <t>Shear force at end support                         KN</t>
  </si>
  <si>
    <t>Support moment                               KN-M</t>
  </si>
  <si>
    <t>Interior support moment                      KN-M</t>
  </si>
  <si>
    <t>Shear force next to end support                            KN</t>
  </si>
  <si>
    <t>Percentage of steel (Pt) at top</t>
  </si>
  <si>
    <t>Percentage of steel (Pt) at bottom</t>
  </si>
  <si>
    <t>3-12Φ</t>
  </si>
  <si>
    <t>3-16Φ</t>
  </si>
  <si>
    <t>Design shear force (Vd) V-τcbd</t>
  </si>
  <si>
    <t>SPACING PROVIDED   C/C</t>
  </si>
  <si>
    <t xml:space="preserve">DESIGN OF COLUMN </t>
  </si>
  <si>
    <t>Load calculation</t>
  </si>
  <si>
    <t>Level</t>
  </si>
  <si>
    <t>Load Type</t>
  </si>
  <si>
    <t>Height metre</t>
  </si>
  <si>
    <t>Width metre</t>
  </si>
  <si>
    <t>Length metre</t>
  </si>
  <si>
    <t>Load       KN</t>
  </si>
  <si>
    <t>ROOF</t>
  </si>
  <si>
    <t>Parapet wall</t>
  </si>
  <si>
    <t xml:space="preserve">TOTAL LOAD </t>
  </si>
  <si>
    <t>Shorter span metre</t>
  </si>
  <si>
    <t>Longer span metre</t>
  </si>
  <si>
    <t>3RD FLOOR</t>
  </si>
  <si>
    <t>D.L  on slab</t>
  </si>
  <si>
    <t>L.L on slab</t>
  </si>
  <si>
    <t>2ND FLOOR</t>
  </si>
  <si>
    <t>1ST FLOOR</t>
  </si>
  <si>
    <t>D.L on beam</t>
  </si>
  <si>
    <t>L.L on Beam</t>
  </si>
  <si>
    <t>2nd FLOOR</t>
  </si>
  <si>
    <t>Depth metre</t>
  </si>
  <si>
    <t>Self weight of column</t>
  </si>
  <si>
    <t>TOTAL LOAD ON COLUMN</t>
  </si>
  <si>
    <t>FACTORED LOAD</t>
  </si>
  <si>
    <t>DETERMINATION OF GROSS AREA OF COLUMN as per IS 456: 2000 Pg:71,Cl:39.3</t>
  </si>
  <si>
    <t>Axial load</t>
  </si>
  <si>
    <t>Fck</t>
  </si>
  <si>
    <t>Fy</t>
  </si>
  <si>
    <t>Area of steel</t>
  </si>
  <si>
    <t>Gross area of column  Ag</t>
  </si>
  <si>
    <t>WIDTH   mm</t>
  </si>
  <si>
    <t>Breadth           mm</t>
  </si>
  <si>
    <t>REMARK</t>
  </si>
  <si>
    <t>Check for eccentricity</t>
  </si>
  <si>
    <t>Unsupported column length</t>
  </si>
  <si>
    <t>Width       mm</t>
  </si>
  <si>
    <t>Breadth      mm</t>
  </si>
  <si>
    <t>REMARKS</t>
  </si>
  <si>
    <t>DETERMINATION OF AREA OF CONCRETE Acc &amp; AREA OF STEEL Ast</t>
  </si>
  <si>
    <t>Area of Concrete</t>
  </si>
  <si>
    <t>Reinforcement</t>
  </si>
  <si>
    <t>CALCULATION FOR LATERAL TIES   As per IS 456:2000 Pg:49,Cl:26.5.3.2.C</t>
  </si>
  <si>
    <t>Dia of lateral Ties</t>
  </si>
  <si>
    <t>Spacing of lateral ties</t>
  </si>
  <si>
    <t>Spacing provided</t>
  </si>
  <si>
    <t>Load   KN</t>
  </si>
  <si>
    <t>DETERMINATION OF AREA OF CONCRETE FOR COLUMN as per IS 456: 2000 Pg:71,Cl:39.3</t>
  </si>
  <si>
    <t>Given data</t>
  </si>
  <si>
    <t>Width of column</t>
  </si>
  <si>
    <t>breadth of column</t>
  </si>
  <si>
    <t>Load from column</t>
  </si>
  <si>
    <t xml:space="preserve">  Bearing capacity of soil</t>
  </si>
  <si>
    <t>load</t>
  </si>
  <si>
    <t>self weight</t>
  </si>
  <si>
    <t>Total load</t>
  </si>
  <si>
    <t>Design load</t>
  </si>
  <si>
    <t>footing area</t>
  </si>
  <si>
    <t>size of footing</t>
  </si>
  <si>
    <t>Depth required</t>
  </si>
  <si>
    <t>As per IS 456:2000 Pg:96, Cl:G 1.1.c</t>
  </si>
  <si>
    <t>Depth provided</t>
  </si>
  <si>
    <t>As per IS 456:2000 Pg:96, Cl:1.1.b</t>
  </si>
  <si>
    <t>Ast required</t>
  </si>
  <si>
    <t>Ast provided</t>
  </si>
  <si>
    <t>Spacing of Reinforcemnet</t>
  </si>
  <si>
    <t>Spacing required</t>
  </si>
  <si>
    <t>CHECK FOR ONE WAY SHEAR</t>
  </si>
  <si>
    <t>Nominal shear stress</t>
  </si>
  <si>
    <t>Percentage of steel</t>
  </si>
  <si>
    <t xml:space="preserve">Design shear strength of concrete </t>
  </si>
  <si>
    <t>Remark</t>
  </si>
  <si>
    <t>CHECK FOR TWO WAY SHEAR</t>
  </si>
  <si>
    <t>Perimeter of Critical Section</t>
  </si>
  <si>
    <t>Ks calculated</t>
  </si>
  <si>
    <t>Ks as per Is 456: 2000</t>
  </si>
  <si>
    <t>Shear strength of concrete</t>
  </si>
  <si>
    <t>Load per m  KN/M</t>
  </si>
  <si>
    <t>DESIGN DATA</t>
  </si>
  <si>
    <t>Problem -</t>
  </si>
  <si>
    <t>Analysis &amp; Design of a RCC framed ground floor of a building</t>
  </si>
  <si>
    <t xml:space="preserve">Given Data - </t>
  </si>
  <si>
    <t xml:space="preserve">(i) Length of an individual slab (a) = </t>
  </si>
  <si>
    <t xml:space="preserve">(ii) Breadth of an individual slab (b) = </t>
  </si>
  <si>
    <t>(iii) Live Load =</t>
  </si>
  <si>
    <t>Kg/sqm</t>
  </si>
  <si>
    <t>(iv) Beam Dimension - 250 * 400 mm</t>
  </si>
  <si>
    <t>(v) Column Dimension - 400 * 400</t>
  </si>
  <si>
    <t xml:space="preserve">(vi) Ceiling Plaster - </t>
  </si>
  <si>
    <t xml:space="preserve">(vii) Reinforcement - </t>
  </si>
  <si>
    <t xml:space="preserve">(viii) Spacing - </t>
  </si>
  <si>
    <t xml:space="preserve">(ix) Grade of concrete - M35  </t>
  </si>
  <si>
    <t>M25</t>
  </si>
  <si>
    <t xml:space="preserve">so, fck </t>
  </si>
  <si>
    <t xml:space="preserve"> 25  N/mm²</t>
  </si>
  <si>
    <t>Considerations -  (i) One staircase is provided in suitable position</t>
  </si>
  <si>
    <t>(ii) Grade of Steel -</t>
  </si>
  <si>
    <t>Fe 500</t>
  </si>
  <si>
    <t>so, fy</t>
  </si>
  <si>
    <t>500 N/mm²</t>
  </si>
  <si>
    <t xml:space="preserve">(iii) Support Width = </t>
  </si>
  <si>
    <t>125 mm</t>
  </si>
  <si>
    <t>(iV)Density of reinforced concrete(KN/m³) - 25</t>
  </si>
  <si>
    <t>(v) Density of plain cement concrete(KN/m³) - 24</t>
  </si>
  <si>
    <t>DESIGN OF SLAB</t>
  </si>
  <si>
    <t>So, slab(c/c) (Ly) =</t>
  </si>
  <si>
    <t xml:space="preserve">bearing = </t>
  </si>
  <si>
    <t>clear span(Ly)=</t>
  </si>
  <si>
    <t>hence clear span/12=</t>
  </si>
  <si>
    <t>Slab(c/c) ( Lx) =</t>
  </si>
  <si>
    <t>clear span(Lx)=</t>
  </si>
  <si>
    <t>clear span/12=</t>
  </si>
  <si>
    <t xml:space="preserve">length =  </t>
  </si>
  <si>
    <t>Breadth =</t>
  </si>
  <si>
    <t>Grade of Concrete = M25</t>
  </si>
  <si>
    <t>N/mm²</t>
  </si>
  <si>
    <t>Grade of Steel = Fe500</t>
  </si>
  <si>
    <t>N/mm2</t>
  </si>
  <si>
    <t>Now, K = (Ly/Lx) =</t>
  </si>
  <si>
    <t>&lt;     2</t>
  </si>
  <si>
    <t>So, We design as per two way slab</t>
  </si>
  <si>
    <t>Now, depth of slab reqd. (d) =</t>
  </si>
  <si>
    <t xml:space="preserve">m            </t>
  </si>
  <si>
    <t xml:space="preserve">clear cover to be provided = </t>
  </si>
  <si>
    <t>So, total depth of slab (D) =</t>
  </si>
  <si>
    <t>So,eff. Length of slab (Ly) =</t>
  </si>
  <si>
    <t>So,eff. Length of slab (Lx) =</t>
  </si>
  <si>
    <t>Load analysis :</t>
  </si>
  <si>
    <t>Total load (W) =  Wd + Wd' +  LL</t>
  </si>
  <si>
    <t xml:space="preserve">[ Wd = Dead Load of slab = </t>
  </si>
  <si>
    <t>KN/m²</t>
  </si>
  <si>
    <t>=</t>
  </si>
  <si>
    <t>Wd' = Floor finish load =</t>
  </si>
  <si>
    <t>LL = Live Load =</t>
  </si>
  <si>
    <t>Factored load = 1.5 X W</t>
  </si>
  <si>
    <t>for unit width, (b) =</t>
  </si>
  <si>
    <t>Moment Calculation :</t>
  </si>
  <si>
    <t>[As per IS 456:2000 ; page 91 ; Clause D-1.1]</t>
  </si>
  <si>
    <t>Area of steel required :</t>
  </si>
  <si>
    <t>Spacing of reinforcement :</t>
  </si>
  <si>
    <r>
      <rPr>
        <sz val="11"/>
        <color theme="1"/>
        <rFont val="Calibri"/>
        <family val="2"/>
        <scheme val="minor"/>
      </rPr>
      <t>[where, a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cross-sectional area of steel ]</t>
    </r>
  </si>
  <si>
    <t>Check for Shear force :</t>
  </si>
  <si>
    <t>KN/m</t>
  </si>
  <si>
    <t>Now,computed shear stress =</t>
  </si>
  <si>
    <t>[ As per IS 456:2000 , Table 19 , if minimum per centage of steel is provided ]</t>
  </si>
  <si>
    <t>[ Clause 40.2.1.1 ]</t>
  </si>
  <si>
    <t>hence safe from shear</t>
  </si>
  <si>
    <t>[ As per IS 456:2000 , Table 20 , if minimum per centage of steel is provided ]</t>
  </si>
  <si>
    <t>Now,as</t>
  </si>
  <si>
    <t xml:space="preserve">So, effective Depth of slab (d) = </t>
  </si>
  <si>
    <t>And, provided total depth (D) =</t>
  </si>
  <si>
    <t>Hence OK</t>
  </si>
  <si>
    <t>(0.12*bd)/100       =</t>
  </si>
  <si>
    <t>mm²</t>
  </si>
  <si>
    <t>[As per; Clause 26.5.2.1 ;IS 456:2000]</t>
  </si>
  <si>
    <t>Dia of reinforcement bar to be provided =</t>
  </si>
  <si>
    <t>Maximum spacing provided can be min of 3d and 300</t>
  </si>
  <si>
    <t>(i)Slabs marked : S1</t>
  </si>
  <si>
    <t>[Interior Panels]</t>
  </si>
  <si>
    <t>Span</t>
  </si>
  <si>
    <t>Direction</t>
  </si>
  <si>
    <t>α</t>
  </si>
  <si>
    <t>M (KNm)</t>
  </si>
  <si>
    <t>Ast (mm²)</t>
  </si>
  <si>
    <t>Spacing</t>
  </si>
  <si>
    <t>Optimum Spacing</t>
  </si>
  <si>
    <t>Mid - Span(+)</t>
  </si>
  <si>
    <t>x</t>
  </si>
  <si>
    <t>y</t>
  </si>
  <si>
    <t>Mu (max)=</t>
  </si>
  <si>
    <t>(.36)*(Xu max/d)*b*Fck</t>
  </si>
  <si>
    <t>(1-0.42(Xu max/d))</t>
  </si>
  <si>
    <t>(Xu max/ d) = 0.46 for fy = 500N/mm2</t>
  </si>
  <si>
    <t>Cont. Span(-)</t>
  </si>
  <si>
    <t>Now,</t>
  </si>
  <si>
    <t>So, d(required) =</t>
  </si>
  <si>
    <t>Now, d provided =</t>
  </si>
  <si>
    <t>Hence, we retain D =</t>
  </si>
  <si>
    <t>d + 20mm(Cover) = D</t>
  </si>
  <si>
    <t>(ii)Slabs marked : S2</t>
  </si>
  <si>
    <t>[one short edge discontinuous]</t>
  </si>
  <si>
    <t>edge continuous]</t>
  </si>
  <si>
    <t xml:space="preserve"> M (KNm)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</si>
  <si>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 xml:space="preserve">st </t>
    </r>
    <r>
      <rPr>
        <sz val="11"/>
        <color theme="1"/>
        <rFont val="Calibri"/>
        <family val="2"/>
        <scheme val="minor"/>
      </rPr>
      <t>(mm</t>
    </r>
    <r>
      <rPr>
        <sz val="11"/>
        <color theme="1"/>
        <rFont val="Calibri"/>
        <family val="2"/>
      </rPr>
      <t>²)</t>
    </r>
  </si>
  <si>
    <t>(iii)Slabs marked : S3</t>
  </si>
  <si>
    <t>[one long edge discontinuous]</t>
  </si>
  <si>
    <t xml:space="preserve">Mu max = </t>
  </si>
  <si>
    <t>(iv)Slabs marked : S4</t>
  </si>
  <si>
    <t>[Two Adjacent Edge Discontinuous ]</t>
  </si>
  <si>
    <t>We provide isolated footing of size 2m×2m</t>
  </si>
  <si>
    <t xml:space="preserve">No of bars of Φ12mm </t>
  </si>
  <si>
    <t>Design of footing</t>
  </si>
  <si>
    <t>Determination of Size of footing</t>
  </si>
  <si>
    <t>[assuming self weight of footing  = 10% of superimposed Load]</t>
  </si>
  <si>
    <t>[required area of footing  = (total load/ safe bearing capacity)]</t>
  </si>
  <si>
    <t>[As we are using square footing, size of footing = square root of(area of footing)]</t>
  </si>
  <si>
    <t>Determination of depth of footing on the basis of bending moment</t>
  </si>
  <si>
    <t>[Bending Moment = M = p0*(B/8)*(B-b)^2</t>
  </si>
  <si>
    <t>where B = width of footing provided and b = width of column provided]</t>
  </si>
  <si>
    <t>Net upward ultimate soil pressure(p0)</t>
  </si>
  <si>
    <t>[p0 = net upward pressure  = (total ultimate load / area profided)]</t>
  </si>
  <si>
    <t xml:space="preserve">Bending Moment </t>
  </si>
  <si>
    <t>[Due to shear consideration adopting higher effective depth]</t>
  </si>
  <si>
    <t>Depth required = sqrt(Mu/(.138*Fck*B))</t>
  </si>
  <si>
    <t>% of reinforcement = (Ast/Bd)*100]</t>
  </si>
  <si>
    <t>but minimum % of reinforcement = 0.12%</t>
  </si>
  <si>
    <t>Hence, % of reinforcement</t>
  </si>
  <si>
    <t>Spacing  = width of footing / No of bars provided</t>
  </si>
  <si>
    <t>Shear force  = V = p0*B*(0.5(B-b)-d)</t>
  </si>
  <si>
    <t>Ultimate shear force  = Vu = 1.5*V</t>
  </si>
  <si>
    <t>Nominal shear stress = Tv = (Vu/Bd)</t>
  </si>
  <si>
    <t>Design shear strength of concrete = T' = Tc*k</t>
  </si>
  <si>
    <t>[As nominal shear stress &lt; design shear strength of concrete]</t>
  </si>
  <si>
    <t>d = Vu/(B*T')</t>
  </si>
  <si>
    <t>d provided = 500mm &gt; 448mm hence safe</t>
  </si>
  <si>
    <t>k = 1 beacause depth &gt; 300mm page 72 IS: 456 - 2000</t>
  </si>
  <si>
    <t>Net shear force acting on perimeter = F = p0(B^2 - b0^2)</t>
  </si>
  <si>
    <t>b0 = (b + d)</t>
  </si>
  <si>
    <t>ultimate shear force = 1.5*net shear force</t>
  </si>
  <si>
    <t>Nominal shear stress = Fu / (4*b0*d)</t>
  </si>
  <si>
    <t>Ks = 0.5 + 1 as this is a square footing clause 31.6.3.1</t>
  </si>
  <si>
    <t>Ultimate shear force</t>
  </si>
  <si>
    <t>ultimate shear force</t>
  </si>
  <si>
    <t>As nominal shear stress &lt; Ks*shear strength of concrete</t>
  </si>
  <si>
    <t>as Ks can not be greater than 1</t>
  </si>
  <si>
    <t>Unit weight  KN/M3</t>
  </si>
  <si>
    <t>Load per m2  KN/M2</t>
  </si>
  <si>
    <t>[ d = Lx / 40 ; As per IS 456:2000 (page 37, Clause- 23.2.1) ]</t>
  </si>
  <si>
    <t xml:space="preserve">From pg 71 clause 39.3 </t>
  </si>
  <si>
    <t>Pu = 0.4*Fck*Ac + .67*Fy*Ast</t>
  </si>
  <si>
    <t>Considerng .8%  area of steel (ASC)</t>
  </si>
  <si>
    <t>A column of cross section 300×300 is provided</t>
  </si>
  <si>
    <t>As per IS 13920: 2016 Pg:7, Cl:7.1.1 the minimum size of column should 20db  or 300 mm whichever is less where db is diameter of the largest longitudinal reinforcement</t>
  </si>
  <si>
    <t xml:space="preserve">Eccentricity </t>
  </si>
  <si>
    <t>Minimum Eccentricity(As per IS 456:2000 Pg: 42 Cl:25.4)</t>
  </si>
  <si>
    <t>so size of the column assuming 450mm X 450mm</t>
  </si>
  <si>
    <t>eccentricity</t>
  </si>
  <si>
    <t>&gt; 20</t>
  </si>
  <si>
    <t>provide 20mm bars</t>
  </si>
  <si>
    <t>area of 20mm bars = 314.16 mm2</t>
  </si>
  <si>
    <t>Diameter of ties &gt; (1/4)*20 = 5mm</t>
  </si>
  <si>
    <t>using 6mm bars</t>
  </si>
  <si>
    <t>Minimum of 3s is taken = 300</t>
  </si>
  <si>
    <t>provide Φ6mm @ 300 C/C</t>
  </si>
  <si>
    <t>Considerng 1%  area of steel (ASC)</t>
  </si>
  <si>
    <t>8-20Φ</t>
  </si>
  <si>
    <t xml:space="preserve">actual Ast </t>
  </si>
  <si>
    <t>using 8mm bars</t>
  </si>
  <si>
    <t>Diameter of ties should be &gt; (1/4)*20 = 5mm</t>
  </si>
  <si>
    <t>Considering column of outer side</t>
  </si>
  <si>
    <t>Considering column of interior side</t>
  </si>
  <si>
    <t>Size of column =400 X 400 mm²</t>
  </si>
  <si>
    <t>Mx = αxWLx2</t>
  </si>
  <si>
    <t>My = αyWLx2</t>
  </si>
  <si>
    <t>[So, WLx² =</t>
  </si>
  <si>
    <t>τv = Vu/bd =</t>
  </si>
  <si>
    <t xml:space="preserve">Now,   τc = </t>
  </si>
  <si>
    <t xml:space="preserve">Now, Modification value (k) = </t>
  </si>
  <si>
    <t>Now , τc =</t>
  </si>
  <si>
    <t>k * τc =</t>
  </si>
  <si>
    <t>Now,τc,max =</t>
  </si>
  <si>
    <t>τv &lt; τc &lt; τc,max</t>
  </si>
  <si>
    <t>Vu = (W*Lx)/2</t>
  </si>
  <si>
    <t xml:space="preserve">So, Vu = </t>
  </si>
  <si>
    <t>Minimum Ast to be provided =</t>
  </si>
  <si>
    <t>So, as =</t>
  </si>
  <si>
    <t>Area of one 12mm bar</t>
  </si>
  <si>
    <t>Live Load of Slab</t>
  </si>
  <si>
    <t>kN/m</t>
  </si>
  <si>
    <t>Dead Load of Slab</t>
  </si>
  <si>
    <t>including Floor finish</t>
  </si>
  <si>
    <t>Total load of Slab</t>
  </si>
  <si>
    <t>Support Width</t>
  </si>
  <si>
    <t>Grade Of Concrete</t>
  </si>
  <si>
    <t>M</t>
  </si>
  <si>
    <t>Aspect Ratio</t>
  </si>
  <si>
    <t>Grade Of Steel</t>
  </si>
  <si>
    <t>Fe</t>
  </si>
  <si>
    <t xml:space="preserve">Floor height </t>
  </si>
  <si>
    <t>Diameter of Bar</t>
  </si>
  <si>
    <t>wall thickness</t>
  </si>
  <si>
    <t>Dead Load of Beam</t>
  </si>
  <si>
    <t>Dead Load of walls</t>
  </si>
  <si>
    <t>Load Calculations</t>
  </si>
  <si>
    <t>SLABS</t>
  </si>
  <si>
    <t>BEAM</t>
  </si>
  <si>
    <t>Total Loads</t>
  </si>
  <si>
    <t>For BM and SF</t>
  </si>
  <si>
    <t>LOADS</t>
  </si>
  <si>
    <t>Triangular (DL)</t>
  </si>
  <si>
    <t>Trapezoidal(DL)</t>
  </si>
  <si>
    <t>Triangular (LL)</t>
  </si>
  <si>
    <t>Trapezoidal(LL)</t>
  </si>
  <si>
    <t>DEAD LOAD FROM BEAMS</t>
  </si>
  <si>
    <t>DL</t>
  </si>
  <si>
    <t>LL</t>
  </si>
  <si>
    <t>Spans</t>
  </si>
  <si>
    <t>STEP 2</t>
  </si>
  <si>
    <t>Bending Moment</t>
  </si>
  <si>
    <t>Final design Moments</t>
  </si>
  <si>
    <t>For DL</t>
  </si>
  <si>
    <t>Load</t>
  </si>
  <si>
    <t>Co eff of interior support</t>
  </si>
  <si>
    <t>Support moment</t>
  </si>
  <si>
    <t>Interior Support</t>
  </si>
  <si>
    <t>Support Moment</t>
  </si>
  <si>
    <t>Shorter Span</t>
  </si>
  <si>
    <t>Longer Span</t>
  </si>
  <si>
    <t>For LL</t>
  </si>
  <si>
    <t>STEP 3</t>
  </si>
  <si>
    <t>Shear Force</t>
  </si>
  <si>
    <t>Final design Shear</t>
  </si>
  <si>
    <t>Co eff of  end support</t>
  </si>
  <si>
    <t>Co eff next to end support</t>
  </si>
  <si>
    <t>End support</t>
  </si>
  <si>
    <t>Next to end</t>
  </si>
  <si>
    <t>STEP 4</t>
  </si>
  <si>
    <t>Depth Check</t>
  </si>
  <si>
    <t>Max Moment</t>
  </si>
  <si>
    <t>kN-m</t>
  </si>
  <si>
    <t>0.5*fck*deff*b/fy</t>
  </si>
  <si>
    <t>Depth Req</t>
  </si>
  <si>
    <t>fck*b*d*d</t>
  </si>
  <si>
    <t>Depth taken</t>
  </si>
  <si>
    <t>deff</t>
  </si>
  <si>
    <t xml:space="preserve">Clear cover </t>
  </si>
  <si>
    <t>Overall Depth</t>
  </si>
  <si>
    <t>STEP 5</t>
  </si>
  <si>
    <t>Area of Steel Calculations</t>
  </si>
  <si>
    <t>4-12Φ</t>
  </si>
  <si>
    <t>4-16Φ</t>
  </si>
  <si>
    <t>STEP 6</t>
  </si>
  <si>
    <t>Shear reinforcement</t>
  </si>
  <si>
    <t xml:space="preserve"> 2 LEGGED STIRRUP OF Φ8MM</t>
  </si>
  <si>
    <t>Shear force at interior support   KN</t>
  </si>
  <si>
    <t xml:space="preserve">4-12Φ </t>
  </si>
  <si>
    <t xml:space="preserve"> 3-16Φ </t>
  </si>
  <si>
    <t>Area of steel required mm2 As per IS 456:2000,Pg:96,G-1.1.b   Mu=0.87Fy*Ast*deff(1-Ast*Fy/b*deff*Fck)</t>
  </si>
  <si>
    <t>τv in N/mm2 (V*1000/bd)</t>
  </si>
  <si>
    <t>τc in N/mm2 is obtained by interpolation</t>
  </si>
  <si>
    <t>Sv in mm from C/C  (0.87*fy*Asv*d)/Vd*103</t>
  </si>
  <si>
    <t>Sv in mm from C/C (0.87*fy*Asv*d)/Vd*103</t>
  </si>
  <si>
    <t>Top reinforcement</t>
  </si>
  <si>
    <t>Bottom reinforcement</t>
  </si>
  <si>
    <t>Effective length</t>
  </si>
  <si>
    <t>Co-efficient of end support</t>
  </si>
  <si>
    <t>Co-efficient of interior support</t>
  </si>
  <si>
    <t>Co efficient next to end support</t>
  </si>
  <si>
    <t>Co efficient of next to end support</t>
  </si>
  <si>
    <t>Co efficient of interior support</t>
  </si>
  <si>
    <t>Co efficient of span</t>
  </si>
  <si>
    <t>Top Reinforcement</t>
  </si>
  <si>
    <t>Spacing provided   C/C</t>
  </si>
  <si>
    <t>Design of beam</t>
  </si>
  <si>
    <t>1st FLOOR</t>
  </si>
  <si>
    <t>%p=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</si>
</sst>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_ ;\-0.000\ "/>
    <numFmt numFmtId="167" formatCode="0.00_ ;\-0.00\ "/>
    <numFmt numFmtId="168" formatCode="0_ ;\-0\ "/>
    <numFmt numFmtId="169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75"/>
      <color rgb="FF202124"/>
      <name val="Arial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2" fillId="12" borderId="0" applyNumberFormat="0" applyBorder="0" applyAlignment="0" applyProtection="0"/>
    <xf numFmtId="0" fontId="5" fillId="13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7" borderId="0" applyNumberFormat="0" applyBorder="0" applyAlignment="0" applyProtection="0"/>
    <xf numFmtId="0" fontId="5" fillId="18" borderId="0" applyNumberFormat="0" applyBorder="0" applyAlignment="0" applyProtection="0"/>
    <xf numFmtId="0" fontId="1" fillId="19" borderId="0" applyNumberFormat="0" applyBorder="0" applyAlignment="0" applyProtection="0"/>
    <xf numFmtId="0" fontId="5" fillId="20" borderId="0" applyNumberFormat="0" applyBorder="0" applyAlignment="0" applyProtection="0"/>
    <xf numFmtId="0" fontId="1" fillId="21" borderId="0" applyNumberFormat="0" applyBorder="0" applyAlignment="0" applyProtection="0"/>
    <xf numFmtId="0" fontId="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</cellStyleXfs>
  <cellXfs count="267">
    <xf numFmtId="0" fontId="0" fillId="0" borderId="0" xfId="0"/>
    <xf numFmtId="0" fontId="3" fillId="2" borderId="1" xfId="1" applyAlignment="1">
      <alignment horizontal="center" vertical="center"/>
    </xf>
    <xf numFmtId="0" fontId="0" fillId="3" borderId="2" xfId="2" applyFont="1"/>
    <xf numFmtId="0" fontId="0" fillId="0" borderId="0" xfId="0" applyAlignment="1">
      <alignment vertical="center"/>
    </xf>
    <xf numFmtId="0" fontId="7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7" borderId="3" xfId="6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vertical="top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166" fontId="0" fillId="11" borderId="3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167" fontId="0" fillId="11" borderId="3" xfId="0" applyNumberForma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11" borderId="3" xfId="0" applyNumberFormat="1" applyFill="1" applyBorder="1" applyAlignment="1">
      <alignment horizontal="center"/>
    </xf>
    <xf numFmtId="1" fontId="0" fillId="11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3" fillId="2" borderId="1" xfId="1" applyNumberFormat="1" applyAlignment="1">
      <alignment horizontal="center" vertical="center"/>
    </xf>
    <xf numFmtId="2" fontId="0" fillId="3" borderId="2" xfId="2" applyNumberFormat="1" applyFont="1" applyAlignment="1">
      <alignment horizontal="center" vertical="center"/>
    </xf>
    <xf numFmtId="2" fontId="4" fillId="3" borderId="2" xfId="2" applyNumberFormat="1" applyFont="1" applyAlignment="1">
      <alignment horizontal="center" vertical="center"/>
    </xf>
    <xf numFmtId="2" fontId="4" fillId="3" borderId="2" xfId="2" applyNumberFormat="1" applyFont="1" applyAlignment="1">
      <alignment horizontal="center" vertical="center" wrapText="1"/>
    </xf>
    <xf numFmtId="0" fontId="2" fillId="12" borderId="0" xfId="9"/>
    <xf numFmtId="0" fontId="5" fillId="13" borderId="1" xfId="10" applyBorder="1"/>
    <xf numFmtId="0" fontId="5" fillId="13" borderId="0" xfId="10"/>
    <xf numFmtId="0" fontId="17" fillId="0" borderId="0" xfId="0" applyFont="1"/>
    <xf numFmtId="0" fontId="18" fillId="0" borderId="0" xfId="0" applyFont="1"/>
    <xf numFmtId="0" fontId="2" fillId="12" borderId="1" xfId="9" applyBorder="1"/>
    <xf numFmtId="0" fontId="3" fillId="2" borderId="1" xfId="1" applyAlignment="1">
      <alignment horizontal="center" vertical="center" wrapText="1"/>
    </xf>
    <xf numFmtId="0" fontId="5" fillId="16" borderId="2" xfId="13" applyBorder="1" applyAlignment="1">
      <alignment horizontal="center" vertical="center"/>
    </xf>
    <xf numFmtId="0" fontId="5" fillId="16" borderId="2" xfId="13" applyBorder="1" applyAlignment="1">
      <alignment horizontal="center" vertical="center" wrapText="1"/>
    </xf>
    <xf numFmtId="0" fontId="5" fillId="15" borderId="2" xfId="12" applyBorder="1" applyAlignment="1">
      <alignment horizontal="center" vertical="center"/>
    </xf>
    <xf numFmtId="0" fontId="5" fillId="15" borderId="2" xfId="12" applyBorder="1" applyAlignment="1">
      <alignment horizontal="center" vertical="center" wrapText="1"/>
    </xf>
    <xf numFmtId="0" fontId="1" fillId="7" borderId="2" xfId="6" applyBorder="1" applyAlignment="1">
      <alignment horizontal="center" vertical="center"/>
    </xf>
    <xf numFmtId="0" fontId="1" fillId="17" borderId="2" xfId="14" applyBorder="1" applyAlignment="1">
      <alignment horizontal="center" vertical="center"/>
    </xf>
    <xf numFmtId="0" fontId="1" fillId="21" borderId="2" xfId="18" applyBorder="1" applyAlignment="1">
      <alignment horizontal="center" vertical="center"/>
    </xf>
    <xf numFmtId="0" fontId="5" fillId="22" borderId="1" xfId="19" applyBorder="1" applyAlignment="1">
      <alignment horizontal="center" vertical="center"/>
    </xf>
    <xf numFmtId="0" fontId="5" fillId="13" borderId="3" xfId="10" applyBorder="1" applyAlignment="1">
      <alignment vertical="center"/>
    </xf>
    <xf numFmtId="0" fontId="5" fillId="13" borderId="3" xfId="10" applyBorder="1" applyAlignment="1">
      <alignment horizontal="center" vertical="center"/>
    </xf>
    <xf numFmtId="0" fontId="2" fillId="12" borderId="0" xfId="9" applyAlignment="1">
      <alignment horizontal="center"/>
    </xf>
    <xf numFmtId="2" fontId="2" fillId="12" borderId="0" xfId="9" applyNumberFormat="1"/>
    <xf numFmtId="0" fontId="1" fillId="6" borderId="0" xfId="5"/>
    <xf numFmtId="0" fontId="1" fillId="6" borderId="0" xfId="5" applyAlignment="1">
      <alignment horizontal="center"/>
    </xf>
    <xf numFmtId="0" fontId="1" fillId="14" borderId="0" xfId="11"/>
    <xf numFmtId="0" fontId="1" fillId="14" borderId="0" xfId="11" applyAlignment="1">
      <alignment horizontal="center"/>
    </xf>
    <xf numFmtId="0" fontId="1" fillId="4" borderId="0" xfId="3" applyAlignment="1">
      <alignment horizontal="left"/>
    </xf>
    <xf numFmtId="0" fontId="1" fillId="4" borderId="0" xfId="3"/>
    <xf numFmtId="2" fontId="1" fillId="4" borderId="0" xfId="3" applyNumberFormat="1" applyAlignment="1">
      <alignment horizontal="center"/>
    </xf>
    <xf numFmtId="0" fontId="1" fillId="4" borderId="0" xfId="3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" fillId="7" borderId="0" xfId="6" applyAlignment="1">
      <alignment horizontal="right"/>
    </xf>
    <xf numFmtId="0" fontId="1" fillId="8" borderId="0" xfId="7"/>
    <xf numFmtId="165" fontId="1" fillId="8" borderId="0" xfId="7" applyNumberFormat="1" applyAlignment="1">
      <alignment horizontal="center"/>
    </xf>
    <xf numFmtId="0" fontId="1" fillId="8" borderId="0" xfId="7" applyAlignment="1">
      <alignment horizontal="center"/>
    </xf>
    <xf numFmtId="0" fontId="1" fillId="8" borderId="0" xfId="7" applyAlignment="1">
      <alignment horizontal="right"/>
    </xf>
    <xf numFmtId="0" fontId="1" fillId="23" borderId="0" xfId="20"/>
    <xf numFmtId="2" fontId="1" fillId="23" borderId="0" xfId="20" applyNumberFormat="1" applyAlignment="1">
      <alignment horizontal="center"/>
    </xf>
    <xf numFmtId="0" fontId="1" fillId="17" borderId="0" xfId="14"/>
    <xf numFmtId="0" fontId="1" fillId="17" borderId="0" xfId="14" applyAlignment="1">
      <alignment horizontal="left" vertical="top"/>
    </xf>
    <xf numFmtId="0" fontId="1" fillId="17" borderId="0" xfId="14" applyAlignment="1">
      <alignment horizontal="center" vertical="top"/>
    </xf>
    <xf numFmtId="0" fontId="1" fillId="17" borderId="0" xfId="14" applyAlignment="1">
      <alignment horizontal="right"/>
    </xf>
    <xf numFmtId="0" fontId="1" fillId="17" borderId="0" xfId="14" applyAlignment="1">
      <alignment horizontal="center"/>
    </xf>
    <xf numFmtId="2" fontId="1" fillId="17" borderId="0" xfId="14" applyNumberFormat="1" applyAlignment="1">
      <alignment horizontal="center"/>
    </xf>
    <xf numFmtId="0" fontId="1" fillId="19" borderId="0" xfId="16"/>
    <xf numFmtId="2" fontId="1" fillId="19" borderId="0" xfId="16" applyNumberFormat="1" applyAlignment="1">
      <alignment horizontal="center"/>
    </xf>
    <xf numFmtId="0" fontId="1" fillId="14" borderId="0" xfId="11" applyAlignment="1">
      <alignment wrapText="1"/>
    </xf>
    <xf numFmtId="2" fontId="1" fillId="19" borderId="2" xfId="16" applyNumberFormat="1" applyBorder="1" applyAlignment="1">
      <alignment horizontal="center" vertical="center"/>
    </xf>
    <xf numFmtId="2" fontId="5" fillId="18" borderId="2" xfId="15" applyNumberFormat="1" applyBorder="1" applyAlignment="1">
      <alignment horizontal="center" vertical="center"/>
    </xf>
    <xf numFmtId="2" fontId="1" fillId="7" borderId="1" xfId="6" applyNumberFormat="1" applyBorder="1" applyAlignment="1">
      <alignment horizontal="center" vertical="center"/>
    </xf>
    <xf numFmtId="2" fontId="1" fillId="4" borderId="2" xfId="3" applyNumberFormat="1" applyBorder="1" applyAlignment="1">
      <alignment horizontal="center" vertical="center"/>
    </xf>
    <xf numFmtId="2" fontId="1" fillId="17" borderId="1" xfId="14" applyNumberFormat="1" applyBorder="1" applyAlignment="1">
      <alignment horizontal="center" vertical="center"/>
    </xf>
    <xf numFmtId="169" fontId="1" fillId="17" borderId="1" xfId="14" applyNumberFormat="1" applyBorder="1" applyAlignment="1">
      <alignment horizontal="center" vertical="center"/>
    </xf>
    <xf numFmtId="2" fontId="1" fillId="5" borderId="2" xfId="4" applyNumberFormat="1" applyBorder="1" applyAlignment="1">
      <alignment horizontal="center" vertical="center"/>
    </xf>
    <xf numFmtId="0" fontId="1" fillId="19" borderId="2" xfId="16" applyBorder="1" applyAlignment="1">
      <alignment horizontal="center" vertical="center"/>
    </xf>
    <xf numFmtId="164" fontId="1" fillId="19" borderId="2" xfId="16" applyNumberFormat="1" applyBorder="1" applyAlignment="1">
      <alignment horizontal="center" vertical="center"/>
    </xf>
    <xf numFmtId="0" fontId="5" fillId="18" borderId="2" xfId="15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164" fontId="1" fillId="5" borderId="2" xfId="4" applyNumberFormat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164" fontId="1" fillId="4" borderId="2" xfId="3" applyNumberFormat="1" applyBorder="1" applyAlignment="1">
      <alignment horizontal="center" vertical="center"/>
    </xf>
    <xf numFmtId="1" fontId="1" fillId="4" borderId="2" xfId="3" applyNumberFormat="1" applyBorder="1" applyAlignment="1">
      <alignment horizontal="center" vertical="center"/>
    </xf>
    <xf numFmtId="0" fontId="1" fillId="7" borderId="2" xfId="6" applyBorder="1" applyAlignment="1">
      <alignment vertical="center"/>
    </xf>
    <xf numFmtId="0" fontId="1" fillId="8" borderId="2" xfId="7" applyBorder="1" applyAlignment="1">
      <alignment vertical="center"/>
    </xf>
    <xf numFmtId="0" fontId="1" fillId="8" borderId="2" xfId="7" applyBorder="1" applyAlignment="1">
      <alignment horizontal="center" vertical="center"/>
    </xf>
    <xf numFmtId="0" fontId="1" fillId="23" borderId="2" xfId="20" applyBorder="1" applyAlignment="1">
      <alignment horizontal="center" vertical="center"/>
    </xf>
    <xf numFmtId="0" fontId="5" fillId="18" borderId="2" xfId="15" applyBorder="1" applyAlignment="1">
      <alignment horizontal="center" vertical="center" wrapText="1"/>
    </xf>
    <xf numFmtId="0" fontId="5" fillId="13" borderId="2" xfId="10" applyBorder="1" applyAlignment="1">
      <alignment horizontal="center" vertical="center"/>
    </xf>
    <xf numFmtId="0" fontId="5" fillId="13" borderId="2" xfId="10" applyBorder="1" applyAlignment="1">
      <alignment horizontal="center" vertical="center" wrapText="1"/>
    </xf>
    <xf numFmtId="0" fontId="1" fillId="21" borderId="2" xfId="18" applyBorder="1" applyAlignment="1">
      <alignment vertical="center"/>
    </xf>
    <xf numFmtId="0" fontId="5" fillId="20" borderId="2" xfId="17" applyBorder="1" applyAlignment="1">
      <alignment horizontal="center" vertical="center"/>
    </xf>
    <xf numFmtId="0" fontId="1" fillId="21" borderId="1" xfId="18" applyBorder="1" applyAlignment="1">
      <alignment horizontal="center" vertical="center"/>
    </xf>
    <xf numFmtId="0" fontId="1" fillId="21" borderId="1" xfId="18" applyBorder="1" applyAlignment="1">
      <alignment horizontal="center" vertical="center" wrapText="1"/>
    </xf>
    <xf numFmtId="0" fontId="5" fillId="13" borderId="1" xfId="10" applyBorder="1" applyAlignment="1">
      <alignment horizontal="center" vertical="center"/>
    </xf>
    <xf numFmtId="1" fontId="1" fillId="19" borderId="2" xfId="16" applyNumberFormat="1" applyBorder="1" applyAlignment="1">
      <alignment horizontal="center" vertical="center"/>
    </xf>
    <xf numFmtId="0" fontId="1" fillId="23" borderId="2" xfId="20" applyBorder="1" applyAlignment="1">
      <alignment horizontal="center" vertical="center" wrapText="1"/>
    </xf>
    <xf numFmtId="0" fontId="1" fillId="5" borderId="2" xfId="4" applyBorder="1" applyAlignment="1">
      <alignment vertical="center"/>
    </xf>
    <xf numFmtId="0" fontId="1" fillId="6" borderId="2" xfId="5" applyBorder="1" applyAlignment="1">
      <alignment horizontal="center" vertical="center" wrapText="1"/>
    </xf>
    <xf numFmtId="0" fontId="1" fillId="6" borderId="2" xfId="5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1" fillId="4" borderId="3" xfId="3" applyBorder="1" applyAlignment="1">
      <alignment horizontal="center"/>
    </xf>
    <xf numFmtId="0" fontId="0" fillId="4" borderId="3" xfId="3" applyFont="1" applyBorder="1" applyAlignment="1">
      <alignment horizontal="center"/>
    </xf>
    <xf numFmtId="0" fontId="1" fillId="7" borderId="3" xfId="6" applyBorder="1" applyAlignment="1">
      <alignment horizontal="center" vertical="center" wrapText="1"/>
    </xf>
    <xf numFmtId="0" fontId="1" fillId="23" borderId="3" xfId="20" applyBorder="1" applyAlignment="1">
      <alignment horizontal="center" vertical="center"/>
    </xf>
    <xf numFmtId="0" fontId="1" fillId="24" borderId="3" xfId="21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17" borderId="3" xfId="14" applyBorder="1" applyAlignment="1">
      <alignment horizontal="center" vertical="center"/>
    </xf>
    <xf numFmtId="2" fontId="1" fillId="17" borderId="3" xfId="14" applyNumberFormat="1" applyBorder="1" applyAlignment="1">
      <alignment horizontal="center" vertical="center"/>
    </xf>
    <xf numFmtId="2" fontId="1" fillId="17" borderId="3" xfId="14" applyNumberFormat="1" applyBorder="1" applyAlignment="1">
      <alignment horizontal="center"/>
    </xf>
    <xf numFmtId="0" fontId="1" fillId="14" borderId="3" xfId="11" applyBorder="1" applyAlignment="1">
      <alignment horizontal="center" vertical="center"/>
    </xf>
    <xf numFmtId="2" fontId="1" fillId="14" borderId="3" xfId="11" applyNumberFormat="1" applyBorder="1" applyAlignment="1">
      <alignment horizontal="center" vertical="center"/>
    </xf>
    <xf numFmtId="2" fontId="1" fillId="14" borderId="3" xfId="11" applyNumberFormat="1" applyBorder="1" applyAlignment="1">
      <alignment horizontal="center"/>
    </xf>
    <xf numFmtId="0" fontId="1" fillId="17" borderId="3" xfId="14" applyBorder="1" applyAlignment="1">
      <alignment horizontal="center"/>
    </xf>
    <xf numFmtId="0" fontId="1" fillId="7" borderId="3" xfId="6" applyBorder="1" applyAlignment="1">
      <alignment horizontal="center"/>
    </xf>
    <xf numFmtId="2" fontId="1" fillId="7" borderId="3" xfId="6" applyNumberFormat="1" applyBorder="1" applyAlignment="1">
      <alignment horizontal="center"/>
    </xf>
    <xf numFmtId="0" fontId="1" fillId="14" borderId="3" xfId="11" applyBorder="1" applyAlignment="1">
      <alignment horizontal="center"/>
    </xf>
    <xf numFmtId="0" fontId="5" fillId="20" borderId="3" xfId="17" applyBorder="1" applyAlignment="1">
      <alignment horizontal="center" vertical="center"/>
    </xf>
    <xf numFmtId="0" fontId="5" fillId="20" borderId="3" xfId="17" applyBorder="1" applyAlignment="1">
      <alignment horizontal="center" vertical="center" wrapText="1"/>
    </xf>
    <xf numFmtId="2" fontId="1" fillId="5" borderId="3" xfId="4" applyNumberFormat="1" applyBorder="1" applyAlignment="1">
      <alignment horizontal="center" vertical="center"/>
    </xf>
    <xf numFmtId="164" fontId="1" fillId="5" borderId="3" xfId="4" applyNumberFormat="1" applyBorder="1" applyAlignment="1">
      <alignment horizontal="center" vertical="center"/>
    </xf>
    <xf numFmtId="0" fontId="5" fillId="20" borderId="3" xfId="17" applyBorder="1" applyAlignment="1">
      <alignment horizontal="center"/>
    </xf>
    <xf numFmtId="0" fontId="5" fillId="15" borderId="3" xfId="12" applyBorder="1" applyAlignment="1">
      <alignment horizontal="center"/>
    </xf>
    <xf numFmtId="0" fontId="1" fillId="5" borderId="3" xfId="4" applyBorder="1" applyAlignment="1">
      <alignment horizontal="center"/>
    </xf>
    <xf numFmtId="2" fontId="1" fillId="5" borderId="3" xfId="4" applyNumberFormat="1" applyBorder="1" applyAlignment="1">
      <alignment horizontal="center"/>
    </xf>
    <xf numFmtId="0" fontId="5" fillId="13" borderId="3" xfId="10" applyBorder="1" applyAlignment="1">
      <alignment horizontal="center"/>
    </xf>
    <xf numFmtId="0" fontId="1" fillId="21" borderId="3" xfId="18" applyBorder="1" applyAlignment="1">
      <alignment horizontal="center"/>
    </xf>
    <xf numFmtId="0" fontId="2" fillId="12" borderId="3" xfId="9" applyBorder="1" applyAlignment="1">
      <alignment horizontal="center"/>
    </xf>
    <xf numFmtId="2" fontId="2" fillId="12" borderId="3" xfId="9" applyNumberFormat="1" applyBorder="1" applyAlignment="1">
      <alignment horizontal="center"/>
    </xf>
    <xf numFmtId="0" fontId="0" fillId="24" borderId="3" xfId="21" applyFont="1" applyBorder="1" applyAlignment="1">
      <alignment horizontal="center" vertical="center" wrapText="1"/>
    </xf>
    <xf numFmtId="0" fontId="0" fillId="14" borderId="3" xfId="1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5" fillId="13" borderId="0" xfId="1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12" borderId="0" xfId="9" applyBorder="1" applyAlignment="1">
      <alignment horizontal="center"/>
    </xf>
    <xf numFmtId="2" fontId="2" fillId="12" borderId="0" xfId="9" applyNumberFormat="1" applyBorder="1" applyAlignment="1">
      <alignment horizontal="center"/>
    </xf>
    <xf numFmtId="0" fontId="0" fillId="24" borderId="3" xfId="21" applyFont="1" applyBorder="1" applyAlignment="1">
      <alignment horizontal="center" vertical="center"/>
    </xf>
    <xf numFmtId="164" fontId="1" fillId="17" borderId="3" xfId="14" applyNumberFormat="1" applyBorder="1" applyAlignment="1">
      <alignment horizontal="center" vertical="center"/>
    </xf>
    <xf numFmtId="165" fontId="1" fillId="17" borderId="3" xfId="14" applyNumberFormat="1" applyBorder="1" applyAlignment="1">
      <alignment horizontal="center" vertical="center"/>
    </xf>
    <xf numFmtId="1" fontId="1" fillId="17" borderId="3" xfId="14" applyNumberFormat="1" applyBorder="1" applyAlignment="1">
      <alignment horizontal="center" vertical="center"/>
    </xf>
    <xf numFmtId="0" fontId="5" fillId="15" borderId="3" xfId="12" applyBorder="1" applyAlignment="1">
      <alignment horizontal="center" vertical="center"/>
    </xf>
    <xf numFmtId="0" fontId="5" fillId="15" borderId="3" xfId="12" applyBorder="1" applyAlignment="1">
      <alignment horizontal="center" vertical="center" wrapText="1"/>
    </xf>
    <xf numFmtId="2" fontId="1" fillId="23" borderId="3" xfId="20" applyNumberFormat="1" applyBorder="1" applyAlignment="1">
      <alignment horizontal="center"/>
    </xf>
    <xf numFmtId="2" fontId="1" fillId="23" borderId="3" xfId="20" applyNumberFormat="1" applyBorder="1" applyAlignment="1">
      <alignment horizontal="center" vertical="center"/>
    </xf>
    <xf numFmtId="165" fontId="1" fillId="5" borderId="3" xfId="4" applyNumberFormat="1" applyBorder="1" applyAlignment="1">
      <alignment horizontal="center" vertical="center"/>
    </xf>
    <xf numFmtId="0" fontId="1" fillId="23" borderId="3" xfId="20" applyBorder="1" applyAlignment="1">
      <alignment horizontal="center"/>
    </xf>
    <xf numFmtId="1" fontId="1" fillId="5" borderId="3" xfId="4" applyNumberFormat="1" applyBorder="1" applyAlignment="1">
      <alignment horizontal="center" vertical="center"/>
    </xf>
    <xf numFmtId="0" fontId="0" fillId="21" borderId="3" xfId="18" applyFont="1" applyBorder="1" applyAlignment="1">
      <alignment horizontal="center"/>
    </xf>
    <xf numFmtId="0" fontId="0" fillId="7" borderId="3" xfId="6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13" borderId="0" xfId="10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" fillId="14" borderId="0" xfId="1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8" fillId="10" borderId="3" xfId="8" applyFill="1" applyBorder="1" applyAlignment="1">
      <alignment horizontal="center" vertical="center"/>
    </xf>
    <xf numFmtId="0" fontId="8" fillId="10" borderId="7" xfId="8" applyFill="1" applyBorder="1" applyAlignment="1">
      <alignment horizontal="center" vertical="center"/>
    </xf>
    <xf numFmtId="0" fontId="8" fillId="10" borderId="8" xfId="8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" fillId="12" borderId="0" xfId="9" applyBorder="1" applyAlignment="1">
      <alignment horizontal="center" vertical="center" wrapText="1"/>
    </xf>
    <xf numFmtId="2" fontId="2" fillId="12" borderId="0" xfId="9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" fillId="12" borderId="0" xfId="9" applyBorder="1" applyAlignment="1">
      <alignment horizontal="center"/>
    </xf>
    <xf numFmtId="0" fontId="1" fillId="17" borderId="3" xfId="14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1" fillId="24" borderId="3" xfId="21" applyBorder="1" applyAlignment="1">
      <alignment horizontal="center" vertical="center" wrapText="1"/>
    </xf>
    <xf numFmtId="0" fontId="1" fillId="14" borderId="3" xfId="11" applyBorder="1" applyAlignment="1">
      <alignment horizontal="center" vertical="center" wrapText="1"/>
    </xf>
    <xf numFmtId="0" fontId="1" fillId="7" borderId="3" xfId="6" applyBorder="1" applyAlignment="1">
      <alignment horizontal="center" vertical="center" wrapText="1"/>
    </xf>
    <xf numFmtId="0" fontId="1" fillId="23" borderId="3" xfId="20" applyBorder="1" applyAlignment="1">
      <alignment horizontal="center" vertical="center" wrapText="1"/>
    </xf>
    <xf numFmtId="0" fontId="5" fillId="15" borderId="3" xfId="12" applyBorder="1" applyAlignment="1">
      <alignment horizontal="center" vertical="center"/>
    </xf>
    <xf numFmtId="0" fontId="5" fillId="20" borderId="3" xfId="17" applyBorder="1" applyAlignment="1">
      <alignment horizontal="center" vertical="center"/>
    </xf>
    <xf numFmtId="0" fontId="1" fillId="21" borderId="3" xfId="18" applyBorder="1" applyAlignment="1">
      <alignment horizontal="center" vertical="center"/>
    </xf>
    <xf numFmtId="0" fontId="1" fillId="14" borderId="3" xfId="11" applyBorder="1" applyAlignment="1">
      <alignment horizontal="center" vertical="center"/>
    </xf>
    <xf numFmtId="0" fontId="5" fillId="13" borderId="3" xfId="10" applyBorder="1" applyAlignment="1">
      <alignment horizontal="center"/>
    </xf>
    <xf numFmtId="0" fontId="1" fillId="21" borderId="2" xfId="18" applyBorder="1" applyAlignment="1">
      <alignment horizontal="center" vertical="center"/>
    </xf>
    <xf numFmtId="0" fontId="1" fillId="21" borderId="2" xfId="18" applyBorder="1" applyAlignment="1">
      <alignment horizontal="center" vertical="center" wrapText="1"/>
    </xf>
    <xf numFmtId="0" fontId="5" fillId="18" borderId="2" xfId="15" applyBorder="1" applyAlignment="1">
      <alignment horizontal="center" vertical="center"/>
    </xf>
    <xf numFmtId="0" fontId="5" fillId="18" borderId="2" xfId="15" applyBorder="1" applyAlignment="1">
      <alignment horizontal="center" vertical="center" wrapText="1"/>
    </xf>
    <xf numFmtId="1" fontId="1" fillId="21" borderId="2" xfId="18" applyNumberFormat="1" applyBorder="1" applyAlignment="1">
      <alignment horizontal="center" vertical="center"/>
    </xf>
    <xf numFmtId="0" fontId="5" fillId="15" borderId="2" xfId="12" applyBorder="1" applyAlignment="1">
      <alignment horizontal="center" vertical="center"/>
    </xf>
    <xf numFmtId="0" fontId="1" fillId="8" borderId="2" xfId="7" applyBorder="1" applyAlignment="1">
      <alignment horizontal="center" vertical="center" wrapText="1"/>
    </xf>
    <xf numFmtId="0" fontId="1" fillId="21" borderId="1" xfId="18" applyBorder="1" applyAlignment="1">
      <alignment horizontal="center" vertical="center" wrapText="1"/>
    </xf>
    <xf numFmtId="0" fontId="1" fillId="17" borderId="2" xfId="14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21" borderId="1" xfId="18" applyBorder="1" applyAlignment="1">
      <alignment horizontal="center" vertical="center"/>
    </xf>
    <xf numFmtId="1" fontId="1" fillId="21" borderId="1" xfId="18" applyNumberFormat="1" applyBorder="1" applyAlignment="1">
      <alignment horizontal="center" vertical="center"/>
    </xf>
    <xf numFmtId="2" fontId="1" fillId="21" borderId="1" xfId="18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19" borderId="2" xfId="16" applyBorder="1" applyAlignment="1">
      <alignment horizontal="center" vertical="center" wrapText="1"/>
    </xf>
    <xf numFmtId="0" fontId="1" fillId="19" borderId="2" xfId="16" applyBorder="1" applyAlignment="1">
      <alignment horizontal="center" vertical="center"/>
    </xf>
    <xf numFmtId="0" fontId="5" fillId="13" borderId="1" xfId="10" applyBorder="1" applyAlignment="1">
      <alignment horizontal="center" vertical="center"/>
    </xf>
    <xf numFmtId="0" fontId="5" fillId="13" borderId="3" xfId="10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1" fontId="1" fillId="19" borderId="2" xfId="16" applyNumberFormat="1" applyBorder="1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5" fillId="20" borderId="2" xfId="17" applyBorder="1" applyAlignment="1">
      <alignment horizontal="center" vertical="center"/>
    </xf>
    <xf numFmtId="0" fontId="3" fillId="2" borderId="1" xfId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7" borderId="2" xfId="6" applyBorder="1" applyAlignment="1">
      <alignment horizontal="center" vertical="center" wrapText="1"/>
    </xf>
    <xf numFmtId="1" fontId="3" fillId="2" borderId="1" xfId="1" applyNumberFormat="1" applyAlignment="1">
      <alignment horizontal="center" vertical="center"/>
    </xf>
    <xf numFmtId="165" fontId="3" fillId="2" borderId="1" xfId="1" applyNumberFormat="1" applyAlignment="1">
      <alignment horizontal="center" vertical="center"/>
    </xf>
    <xf numFmtId="0" fontId="1" fillId="4" borderId="2" xfId="3" applyBorder="1" applyAlignment="1">
      <alignment horizontal="center" vertical="center" wrapText="1"/>
    </xf>
    <xf numFmtId="0" fontId="1" fillId="4" borderId="2" xfId="3" applyBorder="1" applyAlignment="1">
      <alignment horizontal="center" vertical="center"/>
    </xf>
    <xf numFmtId="0" fontId="5" fillId="22" borderId="1" xfId="19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2" fontId="1" fillId="5" borderId="2" xfId="4" applyNumberFormat="1" applyBorder="1" applyAlignment="1">
      <alignment horizontal="center" vertical="center" wrapText="1"/>
    </xf>
    <xf numFmtId="2" fontId="1" fillId="5" borderId="2" xfId="4" applyNumberFormat="1" applyBorder="1" applyAlignment="1">
      <alignment horizontal="center" vertical="center"/>
    </xf>
    <xf numFmtId="2" fontId="5" fillId="16" borderId="1" xfId="13" applyNumberFormat="1" applyBorder="1" applyAlignment="1">
      <alignment horizontal="center" vertical="center"/>
    </xf>
    <xf numFmtId="2" fontId="1" fillId="17" borderId="1" xfId="14" applyNumberFormat="1" applyBorder="1" applyAlignment="1">
      <alignment horizontal="center" vertical="center" wrapText="1"/>
    </xf>
    <xf numFmtId="2" fontId="1" fillId="17" borderId="1" xfId="14" applyNumberFormat="1" applyBorder="1" applyAlignment="1">
      <alignment horizontal="center" vertical="center"/>
    </xf>
    <xf numFmtId="2" fontId="5" fillId="15" borderId="2" xfId="12" applyNumberFormat="1" applyBorder="1" applyAlignment="1">
      <alignment horizontal="center" vertical="center"/>
    </xf>
    <xf numFmtId="2" fontId="1" fillId="7" borderId="1" xfId="6" applyNumberFormat="1" applyBorder="1" applyAlignment="1">
      <alignment horizontal="center" vertical="center"/>
    </xf>
    <xf numFmtId="2" fontId="1" fillId="7" borderId="1" xfId="6" applyNumberFormat="1" applyBorder="1" applyAlignment="1">
      <alignment horizontal="center" vertical="center" wrapText="1"/>
    </xf>
    <xf numFmtId="2" fontId="5" fillId="13" borderId="2" xfId="10" applyNumberFormat="1" applyBorder="1" applyAlignment="1">
      <alignment horizontal="center" vertical="center"/>
    </xf>
    <xf numFmtId="0" fontId="0" fillId="0" borderId="0" xfId="0"/>
    <xf numFmtId="2" fontId="5" fillId="20" borderId="1" xfId="17" applyNumberFormat="1" applyBorder="1" applyAlignment="1">
      <alignment horizontal="center" vertical="center"/>
    </xf>
    <xf numFmtId="2" fontId="5" fillId="22" borderId="1" xfId="19" applyNumberFormat="1" applyBorder="1" applyAlignment="1">
      <alignment horizontal="center" vertical="center"/>
    </xf>
    <xf numFmtId="2" fontId="3" fillId="2" borderId="1" xfId="1" applyNumberFormat="1" applyAlignment="1">
      <alignment horizontal="center" vertical="center" wrapText="1"/>
    </xf>
    <xf numFmtId="2" fontId="8" fillId="9" borderId="2" xfId="8" applyNumberFormat="1" applyBorder="1" applyAlignment="1">
      <alignment horizontal="center" vertical="center" wrapText="1"/>
    </xf>
    <xf numFmtId="2" fontId="8" fillId="9" borderId="2" xfId="8" applyNumberFormat="1" applyBorder="1" applyAlignment="1">
      <alignment horizontal="center" vertical="center"/>
    </xf>
    <xf numFmtId="2" fontId="5" fillId="18" borderId="2" xfId="15" applyNumberFormat="1" applyBorder="1" applyAlignment="1">
      <alignment horizontal="center" vertical="center"/>
    </xf>
    <xf numFmtId="2" fontId="1" fillId="19" borderId="2" xfId="16" applyNumberFormat="1" applyBorder="1" applyAlignment="1">
      <alignment horizontal="center" vertical="center" wrapText="1"/>
    </xf>
    <xf numFmtId="2" fontId="1" fillId="19" borderId="2" xfId="16" applyNumberFormat="1" applyBorder="1" applyAlignment="1">
      <alignment horizontal="center" vertical="center"/>
    </xf>
  </cellXfs>
  <cellStyles count="22">
    <cellStyle name="20% - Accent1" xfId="3" builtinId="30"/>
    <cellStyle name="20% - Accent2" xfId="4" builtinId="34"/>
    <cellStyle name="20% - Accent3" xfId="5" builtinId="38"/>
    <cellStyle name="20% - Accent4" xfId="16" builtinId="42"/>
    <cellStyle name="20% - Accent5" xfId="6" builtinId="46"/>
    <cellStyle name="20% - Accent6" xfId="7" builtinId="50"/>
    <cellStyle name="40% - Accent1" xfId="11" builtinId="31"/>
    <cellStyle name="40% - Accent2" xfId="21" builtinId="35"/>
    <cellStyle name="40% - Accent3" xfId="14" builtinId="39"/>
    <cellStyle name="40% - Accent5" xfId="18" builtinId="47"/>
    <cellStyle name="40% - Accent6" xfId="20" builtinId="51"/>
    <cellStyle name="Accent1" xfId="10" builtinId="29"/>
    <cellStyle name="Accent2" xfId="12" builtinId="33"/>
    <cellStyle name="Accent3" xfId="13" builtinId="37"/>
    <cellStyle name="Accent4" xfId="15" builtinId="41"/>
    <cellStyle name="Accent5" xfId="17" builtinId="45"/>
    <cellStyle name="Accent6" xfId="19" builtinId="49"/>
    <cellStyle name="Bad" xfId="8" builtinId="27"/>
    <cellStyle name="Good" xfId="9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55</xdr:row>
      <xdr:rowOff>152400</xdr:rowOff>
    </xdr:from>
    <xdr:to>
      <xdr:col>6</xdr:col>
      <xdr:colOff>133350</xdr:colOff>
      <xdr:row>58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638425" y="10302240"/>
          <a:ext cx="1670685" cy="396240"/>
        </a:xfrm>
        <a:prstGeom prst="rect">
          <a:avLst/>
        </a:prstGeom>
        <a:noFill/>
      </xdr:spPr>
    </xdr:pic>
    <xdr:clientData/>
  </xdr:twoCellAnchor>
  <xdr:twoCellAnchor>
    <xdr:from>
      <xdr:col>4</xdr:col>
      <xdr:colOff>66675</xdr:colOff>
      <xdr:row>58</xdr:row>
      <xdr:rowOff>28575</xdr:rowOff>
    </xdr:from>
    <xdr:to>
      <xdr:col>5</xdr:col>
      <xdr:colOff>390525</xdr:colOff>
      <xdr:row>59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969895" y="10727055"/>
          <a:ext cx="910590" cy="198120"/>
        </a:xfrm>
        <a:prstGeom prst="rect">
          <a:avLst/>
        </a:prstGeom>
        <a:noFill/>
      </xdr:spPr>
    </xdr:pic>
    <xdr:clientData/>
  </xdr:twoCellAnchor>
  <xdr:oneCellAnchor>
    <xdr:from>
      <xdr:col>13</xdr:col>
      <xdr:colOff>345141</xdr:colOff>
      <xdr:row>90</xdr:row>
      <xdr:rowOff>125505</xdr:rowOff>
    </xdr:from>
    <xdr:ext cx="65" cy="172227"/>
    <xdr:sp macro="" textlink="">
      <xdr:nvSpPr>
        <xdr:cNvPr id="4" name="TextBox 3"/>
        <xdr:cNvSpPr txBox="1"/>
      </xdr:nvSpPr>
      <xdr:spPr>
        <a:xfrm>
          <a:off x="12171381" y="16828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15</xdr:col>
      <xdr:colOff>673100</xdr:colOff>
      <xdr:row>94</xdr:row>
      <xdr:rowOff>38735</xdr:rowOff>
    </xdr:from>
    <xdr:ext cx="3054350" cy="316230"/>
    <xdr:sp macro="" textlink="">
      <xdr:nvSpPr>
        <xdr:cNvPr id="5" name="TextBox 4"/>
        <xdr:cNvSpPr txBox="1"/>
      </xdr:nvSpPr>
      <xdr:spPr>
        <a:xfrm flipV="1">
          <a:off x="15082520" y="17473295"/>
          <a:ext cx="3054350" cy="3162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/>
        <a:p>
          <a:endParaRPr lang="en-IN" sz="1100"/>
        </a:p>
      </xdr:txBody>
    </xdr:sp>
    <xdr:clientData/>
  </xdr:oneCellAnchor>
  <xdr:oneCellAnchor>
    <xdr:from>
      <xdr:col>14</xdr:col>
      <xdr:colOff>1425575</xdr:colOff>
      <xdr:row>90</xdr:row>
      <xdr:rowOff>175895</xdr:rowOff>
    </xdr:from>
    <xdr:ext cx="2278380" cy="7626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 Box 1"/>
            <xdr:cNvSpPr txBox="1"/>
          </xdr:nvSpPr>
          <xdr:spPr>
            <a:xfrm rot="10800000" flipV="1">
              <a:off x="14410055" y="16878935"/>
              <a:ext cx="2278380" cy="76263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charset="0"/>
                        <a:cs typeface="Cambria Math" panose="02040503050406030204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−(−</m:t>
                        </m:r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𝐼</m:t>
                        </m:r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89)±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  <a:cs typeface="Cambria Math" panose="02040503050406030204" charset="0"/>
                              </a:rPr>
                            </m:ctrlPr>
                          </m:radPr>
                          <m:deg/>
                          <m:e>
                            <m:eqArr>
                              <m:eqArr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  <a:cs typeface="Cambria Math" panose="02040503050406030204" charset="0"/>
                                  </a:rPr>
                                </m:ctrlPr>
                              </m:eqArrPr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  <a:cs typeface="Cambria Math" panose="02040503050406030204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𝐼</m:t>
                                    </m:r>
                                    <m:r>
                                      <a:rPr lang="en-US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89</m:t>
                                    </m:r>
                                  </m:e>
                                  <m:sup>
                                    <m:r>
                                      <a:rPr lang="en-US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−4</m:t>
                                </m:r>
                                <m:r>
                                  <a:rPr lang="en-US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𝐾</m:t>
                                </m:r>
                                <m:r>
                                  <a:rPr lang="en-US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89∗</m:t>
                                </m:r>
                                <m:r>
                                  <a:rPr lang="en-US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𝐹</m:t>
                                </m:r>
                                <m:r>
                                  <a:rPr lang="en-US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84</m:t>
                                </m:r>
                              </m:e>
                              <m:e/>
                            </m:eqArr>
                          </m:e>
                        </m:rad>
                      </m:num>
                      <m:den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2</m:t>
                        </m:r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𝐾</m:t>
                        </m:r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89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 Box 1"/>
            <xdr:cNvSpPr txBox="1"/>
          </xdr:nvSpPr>
          <xdr:spPr>
            <a:xfrm rot="10800000" flipV="1">
              <a:off x="14410055" y="16878935"/>
              <a:ext cx="2278380" cy="76263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/>
            <a:lstStyle/>
            <a:p>
              <a:pPr algn="l"/>
              <a:r>
                <a:rPr lang="en-US" sz="1100" i="0">
                  <a:latin typeface="Cambria Math" panose="02040503050406030204" charset="0"/>
                  <a:cs typeface="Cambria Math" panose="02040503050406030204" charset="0"/>
                </a:rPr>
                <a:t>𝑥=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charset="0"/>
                  <a:cs typeface="Cambria Math" panose="02040503050406030204" charset="0"/>
                </a:rPr>
                <a:t>−(−𝐼89)±</a:t>
              </a:r>
              <a:r>
                <a:rPr lang="en-US" sz="1100" i="0">
                  <a:latin typeface="Cambria Math" panose="02040503050406030204" pitchFamily="18" charset="0"/>
                  <a:cs typeface="Cambria Math" panose="02040503050406030204" charset="0"/>
                </a:rPr>
                <a:t>√(█(〖</a:t>
              </a:r>
              <a:r>
                <a:rPr lang="en-US" sz="1100" i="0">
                  <a:latin typeface="Cambria Math" panose="02040503050406030204" charset="0"/>
                  <a:cs typeface="Cambria Math" panose="02040503050406030204" charset="0"/>
                </a:rPr>
                <a:t>𝐼89</a:t>
              </a:r>
              <a:r>
                <a:rPr lang="en-US" sz="1100" i="0">
                  <a:latin typeface="Cambria Math" panose="02040503050406030204" pitchFamily="18" charset="0"/>
                  <a:cs typeface="Cambria Math" panose="02040503050406030204" charset="0"/>
                </a:rPr>
                <a:t>〗^</a:t>
              </a:r>
              <a:r>
                <a:rPr lang="en-US" sz="1100" i="0">
                  <a:latin typeface="Cambria Math" panose="02040503050406030204" charset="0"/>
                  <a:cs typeface="Cambria Math" panose="02040503050406030204" charset="0"/>
                </a:rPr>
                <a:t>2−4𝐾89∗𝐹84</a:t>
              </a:r>
              <a:r>
                <a:rPr lang="en-US" sz="1100" i="0">
                  <a:latin typeface="Cambria Math" panose="02040503050406030204" pitchFamily="18" charset="0"/>
                  <a:cs typeface="Cambria Math" panose="02040503050406030204" charset="0"/>
                </a:rPr>
                <a:t>@)))/</a:t>
              </a:r>
              <a:r>
                <a:rPr lang="en-US" sz="1100" i="0">
                  <a:latin typeface="Cambria Math" panose="02040503050406030204" charset="0"/>
                  <a:cs typeface="Cambria Math" panose="02040503050406030204" charset="0"/>
                </a:rPr>
                <a:t>2𝐾89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30480</xdr:colOff>
      <xdr:row>97</xdr:row>
      <xdr:rowOff>0</xdr:rowOff>
    </xdr:from>
    <xdr:ext cx="8381365" cy="1621790"/>
    <xdr:sp macro="" textlink="">
      <xdr:nvSpPr>
        <xdr:cNvPr id="7" name="TextBox 18"/>
        <xdr:cNvSpPr txBox="1"/>
      </xdr:nvSpPr>
      <xdr:spPr>
        <a:xfrm>
          <a:off x="9784080" y="17983200"/>
          <a:ext cx="8381365" cy="1621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17</xdr:col>
      <xdr:colOff>489284</xdr:colOff>
      <xdr:row>103</xdr:row>
      <xdr:rowOff>136357</xdr:rowOff>
    </xdr:from>
    <xdr:ext cx="1587434" cy="502954"/>
    <xdr:sp macro="" textlink="">
      <xdr:nvSpPr>
        <xdr:cNvPr id="8" name="TextBox 18"/>
        <xdr:cNvSpPr txBox="1"/>
      </xdr:nvSpPr>
      <xdr:spPr>
        <a:xfrm>
          <a:off x="17124947" y="19426989"/>
          <a:ext cx="1587434" cy="502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10</xdr:col>
      <xdr:colOff>254000</xdr:colOff>
      <xdr:row>96</xdr:row>
      <xdr:rowOff>71120</xdr:rowOff>
    </xdr:from>
    <xdr:ext cx="9665970" cy="1988185"/>
    <xdr:sp macro="" textlink="">
      <xdr:nvSpPr>
        <xdr:cNvPr id="9" name="TextBox 18"/>
        <xdr:cNvSpPr txBox="1"/>
      </xdr:nvSpPr>
      <xdr:spPr>
        <a:xfrm>
          <a:off x="8750300" y="17871440"/>
          <a:ext cx="9665970" cy="1988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16</xdr:col>
      <xdr:colOff>385011</xdr:colOff>
      <xdr:row>116</xdr:row>
      <xdr:rowOff>64168</xdr:rowOff>
    </xdr:from>
    <xdr:ext cx="64168" cy="64167"/>
    <xdr:sp macro="" textlink="">
      <xdr:nvSpPr>
        <xdr:cNvPr id="10" name="TextBox 18"/>
        <xdr:cNvSpPr txBox="1"/>
      </xdr:nvSpPr>
      <xdr:spPr>
        <a:xfrm flipH="1" flipV="1">
          <a:off x="16403053" y="21753094"/>
          <a:ext cx="64168" cy="641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11</xdr:col>
      <xdr:colOff>783981</xdr:colOff>
      <xdr:row>103</xdr:row>
      <xdr:rowOff>36635</xdr:rowOff>
    </xdr:from>
    <xdr:ext cx="8032604" cy="862672"/>
    <xdr:sp macro="" textlink="">
      <xdr:nvSpPr>
        <xdr:cNvPr id="11" name="TextBox 18"/>
        <xdr:cNvSpPr txBox="1"/>
      </xdr:nvSpPr>
      <xdr:spPr>
        <a:xfrm>
          <a:off x="10537581" y="19117115"/>
          <a:ext cx="8032604" cy="862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16</xdr:col>
      <xdr:colOff>363220</xdr:colOff>
      <xdr:row>96</xdr:row>
      <xdr:rowOff>132715</xdr:rowOff>
    </xdr:from>
    <xdr:ext cx="2572385" cy="1960245"/>
    <xdr:sp macro="" textlink="">
      <xdr:nvSpPr>
        <xdr:cNvPr id="12" name="TextBox 18"/>
        <xdr:cNvSpPr txBox="1"/>
      </xdr:nvSpPr>
      <xdr:spPr>
        <a:xfrm>
          <a:off x="15961360" y="17933035"/>
          <a:ext cx="2572385" cy="19602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14</xdr:col>
      <xdr:colOff>455295</xdr:colOff>
      <xdr:row>99</xdr:row>
      <xdr:rowOff>11430</xdr:rowOff>
    </xdr:from>
    <xdr:ext cx="4972685" cy="1659890"/>
    <xdr:sp macro="" textlink="">
      <xdr:nvSpPr>
        <xdr:cNvPr id="13" name="TextBox 18"/>
        <xdr:cNvSpPr txBox="1"/>
      </xdr:nvSpPr>
      <xdr:spPr>
        <a:xfrm>
          <a:off x="13691235" y="18360390"/>
          <a:ext cx="4972685" cy="16598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13</xdr:col>
      <xdr:colOff>285750</xdr:colOff>
      <xdr:row>101</xdr:row>
      <xdr:rowOff>131885</xdr:rowOff>
    </xdr:from>
    <xdr:ext cx="6677025" cy="1299503"/>
    <xdr:sp macro="" textlink="">
      <xdr:nvSpPr>
        <xdr:cNvPr id="14" name="TextBox 18"/>
        <xdr:cNvSpPr txBox="1"/>
      </xdr:nvSpPr>
      <xdr:spPr>
        <a:xfrm>
          <a:off x="12111990" y="18846605"/>
          <a:ext cx="6677025" cy="1299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16</xdr:col>
      <xdr:colOff>95249</xdr:colOff>
      <xdr:row>107</xdr:row>
      <xdr:rowOff>146538</xdr:rowOff>
    </xdr:from>
    <xdr:ext cx="3233957" cy="313348"/>
    <xdr:sp macro="" textlink="">
      <xdr:nvSpPr>
        <xdr:cNvPr id="15" name="TextBox 18"/>
        <xdr:cNvSpPr txBox="1"/>
      </xdr:nvSpPr>
      <xdr:spPr>
        <a:xfrm>
          <a:off x="15693389" y="19958538"/>
          <a:ext cx="3233957" cy="3133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13</xdr:col>
      <xdr:colOff>974480</xdr:colOff>
      <xdr:row>105</xdr:row>
      <xdr:rowOff>7327</xdr:rowOff>
    </xdr:from>
    <xdr:ext cx="6369295" cy="1073248"/>
    <xdr:sp macro="" textlink="">
      <xdr:nvSpPr>
        <xdr:cNvPr id="16" name="TextBox 18"/>
        <xdr:cNvSpPr txBox="1"/>
      </xdr:nvSpPr>
      <xdr:spPr>
        <a:xfrm>
          <a:off x="12800720" y="19453567"/>
          <a:ext cx="6369295" cy="1073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8</xdr:col>
      <xdr:colOff>1108710</xdr:colOff>
      <xdr:row>141</xdr:row>
      <xdr:rowOff>62865</xdr:rowOff>
    </xdr:from>
    <xdr:ext cx="9695815" cy="133350"/>
    <xdr:sp macro="" textlink="">
      <xdr:nvSpPr>
        <xdr:cNvPr id="17" name="TextBox 18"/>
        <xdr:cNvSpPr txBox="1"/>
      </xdr:nvSpPr>
      <xdr:spPr>
        <a:xfrm>
          <a:off x="7113270" y="26092785"/>
          <a:ext cx="9695815" cy="133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  <xdr:oneCellAnchor>
    <xdr:from>
      <xdr:col>14</xdr:col>
      <xdr:colOff>1166495</xdr:colOff>
      <xdr:row>103</xdr:row>
      <xdr:rowOff>30480</xdr:rowOff>
    </xdr:from>
    <xdr:ext cx="282575" cy="85090"/>
    <xdr:sp macro="" textlink="">
      <xdr:nvSpPr>
        <xdr:cNvPr id="18" name="TextBox 18"/>
        <xdr:cNvSpPr txBox="1"/>
      </xdr:nvSpPr>
      <xdr:spPr>
        <a:xfrm flipH="1" flipV="1">
          <a:off x="14402435" y="19110960"/>
          <a:ext cx="282575" cy="85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403860</xdr:colOff>
          <xdr:row>20</xdr:row>
          <xdr:rowOff>129540</xdr:rowOff>
        </xdr:from>
        <xdr:to>
          <xdr:col>19</xdr:col>
          <xdr:colOff>388620</xdr:colOff>
          <xdr:row>31</xdr:row>
          <xdr:rowOff>30480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44"/>
  <sheetViews>
    <sheetView tabSelected="1" zoomScale="95" zoomScaleNormal="95" workbookViewId="0">
      <selection activeCell="J6" sqref="J6"/>
    </sheetView>
  </sheetViews>
  <sheetFormatPr defaultColWidth="9" defaultRowHeight="14.4" x14ac:dyDescent="0.3"/>
  <cols>
    <col min="2" max="2" width="20.109375" customWidth="1"/>
    <col min="3" max="3" width="10.33203125" customWidth="1"/>
    <col min="5" max="5" width="8.5546875" customWidth="1"/>
    <col min="6" max="6" width="10" customWidth="1"/>
    <col min="7" max="8" width="13.44140625" customWidth="1"/>
    <col min="9" max="9" width="16" customWidth="1"/>
    <col min="10" max="10" width="20.109375" customWidth="1"/>
    <col min="11" max="11" width="18.33203125" customWidth="1"/>
    <col min="12" max="12" width="21.21875" customWidth="1"/>
    <col min="14" max="14" width="20.5546875" customWidth="1"/>
    <col min="15" max="15" width="17.109375" customWidth="1"/>
    <col min="16" max="16" width="17.33203125" customWidth="1"/>
  </cols>
  <sheetData>
    <row r="3" spans="2:10" x14ac:dyDescent="0.3">
      <c r="G3" s="175" t="s">
        <v>98</v>
      </c>
      <c r="H3" s="175"/>
      <c r="I3" s="175"/>
      <c r="J3" s="176"/>
    </row>
    <row r="6" spans="2:10" ht="25.8" x14ac:dyDescent="0.5">
      <c r="B6" s="48" t="s">
        <v>99</v>
      </c>
      <c r="C6" s="48" t="s">
        <v>100</v>
      </c>
      <c r="D6" s="48"/>
      <c r="E6" s="48"/>
      <c r="F6" s="48"/>
      <c r="G6" s="48"/>
      <c r="J6" s="51"/>
    </row>
    <row r="7" spans="2:10" ht="23.4" x14ac:dyDescent="0.45">
      <c r="J7" s="52"/>
    </row>
    <row r="8" spans="2:10" x14ac:dyDescent="0.3">
      <c r="B8" t="s">
        <v>101</v>
      </c>
    </row>
    <row r="9" spans="2:10" x14ac:dyDescent="0.3">
      <c r="C9" t="s">
        <v>102</v>
      </c>
      <c r="G9">
        <v>4</v>
      </c>
      <c r="H9" t="s">
        <v>0</v>
      </c>
    </row>
    <row r="10" spans="2:10" x14ac:dyDescent="0.3">
      <c r="C10" t="s">
        <v>103</v>
      </c>
      <c r="G10">
        <v>3.25</v>
      </c>
      <c r="H10" t="s">
        <v>0</v>
      </c>
    </row>
    <row r="11" spans="2:10" x14ac:dyDescent="0.3">
      <c r="C11" t="s">
        <v>104</v>
      </c>
      <c r="E11">
        <v>300</v>
      </c>
      <c r="F11" t="s">
        <v>105</v>
      </c>
    </row>
    <row r="12" spans="2:10" x14ac:dyDescent="0.3">
      <c r="C12" t="s">
        <v>106</v>
      </c>
    </row>
    <row r="13" spans="2:10" x14ac:dyDescent="0.3">
      <c r="C13" t="s">
        <v>107</v>
      </c>
    </row>
    <row r="14" spans="2:10" x14ac:dyDescent="0.3">
      <c r="C14" t="s">
        <v>108</v>
      </c>
      <c r="E14">
        <v>6</v>
      </c>
      <c r="F14" t="s">
        <v>1</v>
      </c>
    </row>
    <row r="15" spans="2:10" x14ac:dyDescent="0.3">
      <c r="C15" t="s">
        <v>109</v>
      </c>
      <c r="E15">
        <v>8</v>
      </c>
      <c r="F15" t="s">
        <v>1</v>
      </c>
    </row>
    <row r="16" spans="2:10" x14ac:dyDescent="0.3">
      <c r="C16" t="s">
        <v>110</v>
      </c>
      <c r="E16">
        <v>200</v>
      </c>
      <c r="F16" t="s">
        <v>1</v>
      </c>
    </row>
    <row r="17" spans="2:16" x14ac:dyDescent="0.3">
      <c r="C17" t="s">
        <v>111</v>
      </c>
      <c r="E17" t="s">
        <v>112</v>
      </c>
      <c r="F17" t="s">
        <v>113</v>
      </c>
      <c r="G17" t="s">
        <v>114</v>
      </c>
    </row>
    <row r="19" spans="2:16" x14ac:dyDescent="0.3">
      <c r="B19" t="s">
        <v>115</v>
      </c>
    </row>
    <row r="20" spans="2:16" s="10" customFormat="1" x14ac:dyDescent="0.3">
      <c r="B20"/>
      <c r="C20" t="s">
        <v>116</v>
      </c>
      <c r="D20"/>
      <c r="E20" t="s">
        <v>117</v>
      </c>
      <c r="F20" t="s">
        <v>118</v>
      </c>
      <c r="G20" t="s">
        <v>119</v>
      </c>
      <c r="H20"/>
    </row>
    <row r="21" spans="2:16" x14ac:dyDescent="0.3">
      <c r="C21" t="s">
        <v>120</v>
      </c>
      <c r="F21" t="s">
        <v>121</v>
      </c>
    </row>
    <row r="22" spans="2:16" x14ac:dyDescent="0.3">
      <c r="C22" t="s">
        <v>122</v>
      </c>
    </row>
    <row r="23" spans="2:16" x14ac:dyDescent="0.3">
      <c r="C23" t="s">
        <v>123</v>
      </c>
    </row>
    <row r="25" spans="2:16" x14ac:dyDescent="0.3">
      <c r="F25" s="177" t="s">
        <v>124</v>
      </c>
      <c r="G25" s="177"/>
      <c r="H25" s="7"/>
      <c r="I25" s="7"/>
    </row>
    <row r="26" spans="2:16" x14ac:dyDescent="0.3">
      <c r="M26" s="7"/>
    </row>
    <row r="27" spans="2:16" x14ac:dyDescent="0.3">
      <c r="B27" s="75" t="s">
        <v>125</v>
      </c>
      <c r="C27" s="75"/>
      <c r="D27" s="76">
        <v>4</v>
      </c>
      <c r="E27" s="75" t="s">
        <v>0</v>
      </c>
      <c r="F27" s="75" t="s">
        <v>126</v>
      </c>
      <c r="G27" s="75">
        <v>125</v>
      </c>
      <c r="H27" s="75" t="s">
        <v>1</v>
      </c>
      <c r="L27" s="78" t="s">
        <v>127</v>
      </c>
      <c r="M27" s="80">
        <f>D27-(2*G27/1000)</f>
        <v>3.75</v>
      </c>
      <c r="N27" s="78" t="s">
        <v>128</v>
      </c>
      <c r="O27" s="78">
        <f>M27/12</f>
        <v>0.3125</v>
      </c>
    </row>
    <row r="28" spans="2:16" x14ac:dyDescent="0.3">
      <c r="B28" s="75" t="s">
        <v>129</v>
      </c>
      <c r="C28" s="75"/>
      <c r="D28" s="76">
        <v>3.25</v>
      </c>
      <c r="E28" s="75" t="s">
        <v>0</v>
      </c>
      <c r="F28" s="75"/>
      <c r="G28" s="75"/>
      <c r="H28" s="75"/>
      <c r="L28" s="78" t="s">
        <v>130</v>
      </c>
      <c r="M28" s="81">
        <f>D28-(2*G27/1000)</f>
        <v>3</v>
      </c>
      <c r="N28" s="80" t="s">
        <v>131</v>
      </c>
      <c r="O28" s="78">
        <f>M28/12</f>
        <v>0.25</v>
      </c>
      <c r="P28" s="7"/>
    </row>
    <row r="29" spans="2:16" x14ac:dyDescent="0.3">
      <c r="B29" s="75" t="s">
        <v>271</v>
      </c>
      <c r="C29" s="75"/>
      <c r="D29" s="75"/>
      <c r="E29" s="77" t="s">
        <v>132</v>
      </c>
      <c r="F29" s="75">
        <v>0.4</v>
      </c>
      <c r="G29" s="75" t="s">
        <v>0</v>
      </c>
      <c r="H29" s="75"/>
      <c r="J29" t="s">
        <v>133</v>
      </c>
      <c r="K29">
        <v>0.4</v>
      </c>
      <c r="L29" t="s">
        <v>0</v>
      </c>
      <c r="M29" s="12"/>
      <c r="N29" s="7"/>
      <c r="P29" s="7"/>
    </row>
    <row r="30" spans="2:16" x14ac:dyDescent="0.3">
      <c r="B30" s="75" t="s">
        <v>134</v>
      </c>
      <c r="C30" s="75"/>
      <c r="D30" s="75"/>
      <c r="E30" s="77" t="s">
        <v>113</v>
      </c>
      <c r="F30" s="76">
        <v>25</v>
      </c>
      <c r="G30" s="75" t="s">
        <v>135</v>
      </c>
      <c r="H30" s="75"/>
      <c r="M30" s="12"/>
      <c r="N30" s="7"/>
      <c r="P30" s="7"/>
    </row>
    <row r="31" spans="2:16" x14ac:dyDescent="0.3">
      <c r="B31" s="75" t="s">
        <v>136</v>
      </c>
      <c r="C31" s="75"/>
      <c r="D31" s="75"/>
      <c r="E31" s="77" t="s">
        <v>118</v>
      </c>
      <c r="F31" s="76">
        <v>500</v>
      </c>
      <c r="G31" s="75" t="s">
        <v>137</v>
      </c>
      <c r="H31" s="75"/>
    </row>
    <row r="32" spans="2:16" x14ac:dyDescent="0.3">
      <c r="M32" s="13"/>
    </row>
    <row r="33" spans="2:18" x14ac:dyDescent="0.3">
      <c r="C33" s="90" t="s">
        <v>138</v>
      </c>
      <c r="D33" s="90"/>
      <c r="E33" s="91">
        <f>D27/D28</f>
        <v>1.2307692307692308</v>
      </c>
      <c r="F33" s="90" t="s">
        <v>139</v>
      </c>
    </row>
    <row r="34" spans="2:18" x14ac:dyDescent="0.3">
      <c r="C34" s="90" t="s">
        <v>140</v>
      </c>
      <c r="D34" s="90"/>
      <c r="E34" s="90"/>
      <c r="F34" s="90"/>
    </row>
    <row r="35" spans="2:18" x14ac:dyDescent="0.3">
      <c r="N35" s="7"/>
      <c r="P35" s="7"/>
    </row>
    <row r="36" spans="2:18" x14ac:dyDescent="0.3">
      <c r="C36" s="75" t="s">
        <v>141</v>
      </c>
      <c r="D36" s="75"/>
      <c r="E36" s="75"/>
      <c r="F36" s="76">
        <f>D28/40</f>
        <v>8.1250000000000003E-2</v>
      </c>
      <c r="G36" s="75" t="s">
        <v>142</v>
      </c>
      <c r="H36" s="75"/>
      <c r="I36" s="75"/>
      <c r="J36" s="75">
        <v>81.25</v>
      </c>
      <c r="K36" s="75" t="s">
        <v>1</v>
      </c>
      <c r="L36" s="75"/>
      <c r="N36" s="7"/>
      <c r="P36" s="178"/>
      <c r="Q36" s="179"/>
      <c r="R36" s="179"/>
    </row>
    <row r="37" spans="2:18" ht="14.4" customHeight="1" x14ac:dyDescent="0.3">
      <c r="C37" s="75" t="s">
        <v>143</v>
      </c>
      <c r="D37" s="75"/>
      <c r="E37" s="75"/>
      <c r="F37" s="76">
        <v>0.02</v>
      </c>
      <c r="G37" s="75" t="s">
        <v>0</v>
      </c>
      <c r="H37" s="75"/>
      <c r="I37" s="75"/>
      <c r="J37" s="75" t="s">
        <v>247</v>
      </c>
      <c r="K37" s="75"/>
      <c r="L37" s="75"/>
      <c r="N37" s="7"/>
      <c r="P37" s="179"/>
      <c r="Q37" s="179"/>
      <c r="R37" s="179"/>
    </row>
    <row r="38" spans="2:18" x14ac:dyDescent="0.3">
      <c r="C38" s="75" t="s">
        <v>144</v>
      </c>
      <c r="D38" s="75"/>
      <c r="E38" s="75"/>
      <c r="F38" s="76">
        <f>F36+F37</f>
        <v>0.10125000000000001</v>
      </c>
      <c r="G38" s="75" t="s">
        <v>0</v>
      </c>
      <c r="H38" s="75"/>
      <c r="I38" s="75"/>
      <c r="J38" s="75"/>
      <c r="K38" s="75"/>
      <c r="L38" s="75"/>
    </row>
    <row r="39" spans="2:18" x14ac:dyDescent="0.3">
      <c r="M39" s="7"/>
    </row>
    <row r="40" spans="2:18" x14ac:dyDescent="0.3">
      <c r="B40" s="67" t="s">
        <v>145</v>
      </c>
      <c r="C40" s="67"/>
      <c r="D40" s="67"/>
      <c r="E40" s="68">
        <f>M27+(J36/1000)</f>
        <v>3.8312499999999998</v>
      </c>
      <c r="F40" s="67" t="s">
        <v>0</v>
      </c>
      <c r="M40" s="7"/>
    </row>
    <row r="41" spans="2:18" x14ac:dyDescent="0.3">
      <c r="B41" s="67" t="s">
        <v>146</v>
      </c>
      <c r="C41" s="67"/>
      <c r="D41" s="67"/>
      <c r="E41" s="68">
        <f>M28</f>
        <v>3</v>
      </c>
      <c r="F41" s="67" t="s">
        <v>0</v>
      </c>
    </row>
    <row r="42" spans="2:18" x14ac:dyDescent="0.3">
      <c r="M42" s="13"/>
    </row>
    <row r="43" spans="2:18" x14ac:dyDescent="0.3">
      <c r="C43" s="82" t="s">
        <v>138</v>
      </c>
      <c r="D43" s="82"/>
      <c r="E43" s="83">
        <f>E40/E41</f>
        <v>1.2770833333333333</v>
      </c>
      <c r="F43" s="82" t="s">
        <v>139</v>
      </c>
    </row>
    <row r="44" spans="2:18" x14ac:dyDescent="0.3">
      <c r="J44" s="14"/>
    </row>
    <row r="45" spans="2:18" x14ac:dyDescent="0.3">
      <c r="B45" s="50" t="s">
        <v>147</v>
      </c>
      <c r="N45" s="15"/>
      <c r="O45" s="16"/>
      <c r="P45" s="16"/>
    </row>
    <row r="46" spans="2:18" x14ac:dyDescent="0.3">
      <c r="C46" s="84" t="s">
        <v>148</v>
      </c>
      <c r="D46" s="84"/>
      <c r="E46" s="84"/>
      <c r="F46" s="85" t="s">
        <v>149</v>
      </c>
      <c r="G46" s="86"/>
      <c r="H46" s="86"/>
      <c r="I46" s="86"/>
      <c r="J46" s="84">
        <f>25*F38</f>
        <v>2.53125</v>
      </c>
      <c r="K46" s="87" t="s">
        <v>150</v>
      </c>
      <c r="L46" s="7"/>
      <c r="N46" s="15"/>
      <c r="O46" s="16"/>
      <c r="P46" s="16"/>
    </row>
    <row r="47" spans="2:18" x14ac:dyDescent="0.3">
      <c r="C47" s="87" t="s">
        <v>151</v>
      </c>
      <c r="D47" s="88">
        <f>J46+J47+J48</f>
        <v>6.53125</v>
      </c>
      <c r="E47" s="84" t="s">
        <v>150</v>
      </c>
      <c r="F47" s="85" t="s">
        <v>152</v>
      </c>
      <c r="G47" s="86"/>
      <c r="H47" s="86"/>
      <c r="I47" s="86"/>
      <c r="J47" s="84">
        <v>1</v>
      </c>
      <c r="K47" s="84" t="s">
        <v>150</v>
      </c>
      <c r="N47" s="15"/>
      <c r="O47" s="16"/>
      <c r="P47" s="16"/>
      <c r="R47" s="11"/>
    </row>
    <row r="48" spans="2:18" x14ac:dyDescent="0.3">
      <c r="C48" s="84"/>
      <c r="D48" s="84"/>
      <c r="E48" s="84"/>
      <c r="F48" s="85" t="s">
        <v>153</v>
      </c>
      <c r="G48" s="86"/>
      <c r="H48" s="86"/>
      <c r="I48" s="86"/>
      <c r="J48" s="84">
        <v>3</v>
      </c>
      <c r="K48" s="84" t="s">
        <v>150</v>
      </c>
      <c r="N48" s="15"/>
      <c r="P48" s="7"/>
    </row>
    <row r="49" spans="2:16" x14ac:dyDescent="0.3">
      <c r="C49" s="84" t="s">
        <v>154</v>
      </c>
      <c r="D49" s="84"/>
      <c r="E49" s="84"/>
      <c r="F49" s="85" t="s">
        <v>155</v>
      </c>
      <c r="G49" s="84"/>
      <c r="H49" s="84"/>
      <c r="I49" s="84"/>
      <c r="J49" s="84">
        <v>1000</v>
      </c>
      <c r="K49" s="87" t="s">
        <v>1</v>
      </c>
      <c r="L49" s="7"/>
    </row>
    <row r="50" spans="2:16" x14ac:dyDescent="0.3">
      <c r="C50" s="87" t="s">
        <v>151</v>
      </c>
      <c r="D50" s="89">
        <f>D47*1.5</f>
        <v>9.796875</v>
      </c>
      <c r="E50" s="84" t="s">
        <v>150</v>
      </c>
      <c r="F50" s="84"/>
      <c r="G50" s="84"/>
      <c r="H50" s="84"/>
      <c r="I50" s="84"/>
      <c r="J50" s="84"/>
      <c r="K50" s="84"/>
    </row>
    <row r="51" spans="2:16" x14ac:dyDescent="0.3">
      <c r="J51" s="14"/>
    </row>
    <row r="52" spans="2:16" x14ac:dyDescent="0.3">
      <c r="B52" s="50" t="s">
        <v>156</v>
      </c>
    </row>
    <row r="53" spans="2:16" x14ac:dyDescent="0.3">
      <c r="C53" s="69" t="s">
        <v>272</v>
      </c>
      <c r="D53" s="69"/>
      <c r="E53" s="69"/>
      <c r="F53" s="69" t="s">
        <v>157</v>
      </c>
      <c r="G53" s="69"/>
      <c r="H53" s="69"/>
      <c r="O53" s="7"/>
    </row>
    <row r="54" spans="2:16" x14ac:dyDescent="0.3">
      <c r="C54" s="69" t="s">
        <v>273</v>
      </c>
      <c r="D54" s="69"/>
      <c r="E54" s="69"/>
      <c r="F54" s="69" t="s">
        <v>274</v>
      </c>
      <c r="G54" s="70">
        <f>D50*E41*E41</f>
        <v>88.171875</v>
      </c>
      <c r="H54" s="70"/>
      <c r="I54" s="7"/>
      <c r="N54" s="17"/>
      <c r="O54" s="18"/>
    </row>
    <row r="55" spans="2:16" x14ac:dyDescent="0.3">
      <c r="F55" s="17"/>
      <c r="G55" s="18"/>
      <c r="H55" s="18"/>
      <c r="I55" s="18"/>
    </row>
    <row r="56" spans="2:16" x14ac:dyDescent="0.3">
      <c r="J56" s="14"/>
    </row>
    <row r="57" spans="2:16" x14ac:dyDescent="0.3">
      <c r="B57" s="50" t="s">
        <v>158</v>
      </c>
      <c r="C57" s="50"/>
    </row>
    <row r="58" spans="2:16" x14ac:dyDescent="0.3">
      <c r="J58" s="14"/>
      <c r="M58" s="17"/>
    </row>
    <row r="59" spans="2:16" ht="15.6" x14ac:dyDescent="0.35">
      <c r="B59" s="50" t="s">
        <v>159</v>
      </c>
      <c r="C59" s="50"/>
      <c r="E59" s="17"/>
      <c r="G59" t="s">
        <v>160</v>
      </c>
    </row>
    <row r="60" spans="2:16" x14ac:dyDescent="0.3">
      <c r="J60" s="14"/>
    </row>
    <row r="61" spans="2:16" x14ac:dyDescent="0.3">
      <c r="B61" s="50" t="s">
        <v>161</v>
      </c>
      <c r="C61" s="50"/>
      <c r="E61" s="67" t="s">
        <v>282</v>
      </c>
      <c r="F61" s="67"/>
      <c r="G61" s="67"/>
      <c r="N61" s="7"/>
    </row>
    <row r="62" spans="2:16" x14ac:dyDescent="0.3">
      <c r="E62" s="67" t="s">
        <v>283</v>
      </c>
      <c r="F62" s="68">
        <f>(D50*E41)/2</f>
        <v>14.6953125</v>
      </c>
      <c r="G62" s="67" t="s">
        <v>162</v>
      </c>
    </row>
    <row r="63" spans="2:16" x14ac:dyDescent="0.3">
      <c r="O63" s="19"/>
      <c r="P63" s="3"/>
    </row>
    <row r="64" spans="2:16" x14ac:dyDescent="0.3">
      <c r="C64" s="78" t="s">
        <v>163</v>
      </c>
      <c r="D64" s="78"/>
      <c r="E64" s="78"/>
      <c r="F64" s="78" t="s">
        <v>275</v>
      </c>
      <c r="G64" s="79">
        <f>(F62*1000)/(J49*J36)</f>
        <v>0.18086538461538462</v>
      </c>
      <c r="H64" s="79"/>
      <c r="I64" s="79"/>
      <c r="J64" s="78"/>
      <c r="K64" s="78"/>
      <c r="O64" s="7"/>
      <c r="P64" s="3"/>
    </row>
    <row r="65" spans="2:18" x14ac:dyDescent="0.3">
      <c r="C65" s="78"/>
      <c r="D65" s="78"/>
      <c r="E65" s="78"/>
      <c r="F65" s="78" t="s">
        <v>276</v>
      </c>
      <c r="G65" s="80">
        <f>0.29</f>
        <v>0.28999999999999998</v>
      </c>
      <c r="H65" s="80"/>
      <c r="I65" s="80"/>
      <c r="J65" s="78"/>
      <c r="K65" s="78"/>
    </row>
    <row r="66" spans="2:18" x14ac:dyDescent="0.3">
      <c r="C66" s="78" t="s">
        <v>164</v>
      </c>
      <c r="D66" s="78"/>
      <c r="E66" s="78"/>
      <c r="F66" s="78"/>
      <c r="G66" s="78"/>
      <c r="H66" s="78"/>
      <c r="I66" s="78"/>
      <c r="J66" s="78"/>
      <c r="K66" s="78"/>
      <c r="P66" s="7"/>
    </row>
    <row r="67" spans="2:18" x14ac:dyDescent="0.3">
      <c r="C67" s="78"/>
      <c r="D67" s="78"/>
      <c r="E67" s="78" t="s">
        <v>277</v>
      </c>
      <c r="F67" s="78"/>
      <c r="G67" s="78"/>
      <c r="H67" s="78"/>
      <c r="I67" s="78"/>
      <c r="J67" s="78">
        <v>1.3</v>
      </c>
      <c r="K67" s="78" t="s">
        <v>165</v>
      </c>
      <c r="N67" s="7"/>
      <c r="O67" s="7"/>
      <c r="P67" s="7"/>
      <c r="Q67" s="3"/>
    </row>
    <row r="68" spans="2:18" x14ac:dyDescent="0.3">
      <c r="C68" s="78"/>
      <c r="D68" s="78"/>
      <c r="E68" s="78"/>
      <c r="F68" s="80" t="s">
        <v>278</v>
      </c>
      <c r="G68" s="80" t="s">
        <v>279</v>
      </c>
      <c r="H68" s="80"/>
      <c r="I68" s="80"/>
      <c r="J68" s="78">
        <f>J67*G65</f>
        <v>0.377</v>
      </c>
      <c r="K68" s="78" t="s">
        <v>135</v>
      </c>
      <c r="O68" s="7"/>
      <c r="P68" s="3"/>
    </row>
    <row r="69" spans="2:18" x14ac:dyDescent="0.3">
      <c r="C69" s="78"/>
      <c r="D69" s="78"/>
      <c r="E69" s="78"/>
      <c r="F69" s="78" t="s">
        <v>280</v>
      </c>
      <c r="G69" s="80">
        <v>3.1</v>
      </c>
      <c r="H69" s="80" t="s">
        <v>135</v>
      </c>
      <c r="I69" s="80"/>
      <c r="J69" s="78"/>
      <c r="K69" s="78" t="s">
        <v>166</v>
      </c>
    </row>
    <row r="70" spans="2:18" x14ac:dyDescent="0.3">
      <c r="C70" s="78" t="s">
        <v>167</v>
      </c>
      <c r="D70" s="78"/>
      <c r="E70" s="78"/>
      <c r="F70" s="78"/>
      <c r="G70" s="78"/>
      <c r="H70" s="78"/>
      <c r="I70" s="78"/>
      <c r="J70" s="78"/>
      <c r="K70" s="78"/>
      <c r="M70" s="11"/>
    </row>
    <row r="71" spans="2:18" x14ac:dyDescent="0.3">
      <c r="C71" s="78"/>
      <c r="D71" s="78"/>
      <c r="E71" s="81" t="s">
        <v>168</v>
      </c>
      <c r="F71" s="78" t="s">
        <v>281</v>
      </c>
      <c r="G71" s="78"/>
      <c r="H71" s="78"/>
      <c r="I71" s="78"/>
      <c r="J71" s="78"/>
      <c r="K71" s="78"/>
      <c r="P71" s="7"/>
    </row>
    <row r="72" spans="2:18" x14ac:dyDescent="0.3">
      <c r="C72" s="78"/>
      <c r="D72" s="78"/>
      <c r="E72" s="78" t="s">
        <v>169</v>
      </c>
      <c r="F72" s="78"/>
      <c r="G72" s="78"/>
      <c r="H72" s="78"/>
      <c r="I72" s="78"/>
      <c r="J72" s="78">
        <f>J36</f>
        <v>81.25</v>
      </c>
      <c r="K72" s="78" t="s">
        <v>1</v>
      </c>
      <c r="P72" s="7"/>
    </row>
    <row r="73" spans="2:18" x14ac:dyDescent="0.3">
      <c r="C73" s="78"/>
      <c r="D73" s="78"/>
      <c r="E73" s="78" t="s">
        <v>170</v>
      </c>
      <c r="F73" s="78"/>
      <c r="G73" s="78"/>
      <c r="H73" s="78"/>
      <c r="I73" s="78"/>
      <c r="J73" s="78">
        <f>F38*1000</f>
        <v>101.25</v>
      </c>
      <c r="K73" s="78" t="s">
        <v>1</v>
      </c>
      <c r="N73" s="20"/>
    </row>
    <row r="74" spans="2:18" x14ac:dyDescent="0.3">
      <c r="C74" s="78"/>
      <c r="D74" s="78"/>
      <c r="E74" s="78"/>
      <c r="F74" s="80" t="s">
        <v>171</v>
      </c>
      <c r="G74" s="78"/>
      <c r="H74" s="78"/>
      <c r="I74" s="78"/>
      <c r="J74" s="78"/>
      <c r="K74" s="78"/>
    </row>
    <row r="75" spans="2:18" x14ac:dyDescent="0.3">
      <c r="J75" s="14"/>
    </row>
    <row r="76" spans="2:18" x14ac:dyDescent="0.3">
      <c r="B76" s="50" t="s">
        <v>156</v>
      </c>
      <c r="N76" s="176"/>
      <c r="O76" s="176"/>
      <c r="P76" s="7"/>
      <c r="Q76" s="180"/>
      <c r="R76" s="180"/>
    </row>
    <row r="77" spans="2:18" ht="15.6" customHeight="1" x14ac:dyDescent="0.3">
      <c r="C77" s="69" t="s">
        <v>284</v>
      </c>
      <c r="D77" s="69"/>
      <c r="E77" s="69"/>
      <c r="F77" s="181" t="s">
        <v>172</v>
      </c>
      <c r="G77" s="181"/>
      <c r="H77" s="70"/>
      <c r="I77" s="70"/>
      <c r="J77" s="69">
        <f>0.12*J49*J72/100</f>
        <v>97.5</v>
      </c>
      <c r="K77" s="69" t="s">
        <v>173</v>
      </c>
      <c r="L77" s="69" t="s">
        <v>174</v>
      </c>
      <c r="M77" s="69"/>
      <c r="N77" s="92"/>
      <c r="O77" s="7"/>
      <c r="P77" s="7"/>
      <c r="Q77" s="180"/>
      <c r="R77" s="180"/>
    </row>
    <row r="78" spans="2:18" x14ac:dyDescent="0.3">
      <c r="C78" s="69" t="s">
        <v>175</v>
      </c>
      <c r="D78" s="69"/>
      <c r="E78" s="69"/>
      <c r="F78" s="92"/>
      <c r="G78" s="70">
        <v>8</v>
      </c>
      <c r="H78" s="70" t="s">
        <v>1</v>
      </c>
      <c r="I78" s="70"/>
      <c r="J78" s="69"/>
      <c r="K78" s="69"/>
      <c r="L78" s="70"/>
      <c r="M78" s="69"/>
      <c r="N78" s="69"/>
      <c r="P78" t="s">
        <v>375</v>
      </c>
      <c r="Q78">
        <f>J77/(1000*1000*E41)*100</f>
        <v>3.2499999999999999E-3</v>
      </c>
    </row>
    <row r="79" spans="2:18" x14ac:dyDescent="0.3">
      <c r="C79" s="69" t="s">
        <v>285</v>
      </c>
      <c r="D79" s="70">
        <f>(22/7)*G78*G78/4</f>
        <v>50.285714285714285</v>
      </c>
      <c r="E79" s="69" t="s">
        <v>173</v>
      </c>
      <c r="F79" s="69"/>
      <c r="G79" s="69"/>
      <c r="H79" s="69"/>
      <c r="I79" s="69"/>
      <c r="J79" s="69"/>
      <c r="K79" s="69"/>
      <c r="L79" s="69"/>
      <c r="M79" s="69"/>
      <c r="N79" s="69"/>
      <c r="P79" s="22"/>
    </row>
    <row r="80" spans="2:18" x14ac:dyDescent="0.3">
      <c r="C80" s="69" t="s">
        <v>176</v>
      </c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P80" s="22"/>
    </row>
    <row r="81" spans="2:18" x14ac:dyDescent="0.3">
      <c r="B81" s="50" t="s">
        <v>177</v>
      </c>
      <c r="D81" s="48" t="s">
        <v>178</v>
      </c>
      <c r="E81" s="48"/>
      <c r="K81" s="48" t="s">
        <v>145</v>
      </c>
      <c r="L81" s="48"/>
      <c r="M81" s="48"/>
      <c r="N81" s="65">
        <f>E40</f>
        <v>3.8312499999999998</v>
      </c>
      <c r="O81" s="48" t="s">
        <v>0</v>
      </c>
      <c r="P81" s="182"/>
      <c r="Q81" s="182"/>
      <c r="R81" s="183"/>
    </row>
    <row r="82" spans="2:18" ht="14.4" customHeight="1" x14ac:dyDescent="0.3">
      <c r="C82" s="184" t="s">
        <v>179</v>
      </c>
      <c r="D82" s="184" t="s">
        <v>180</v>
      </c>
      <c r="E82" s="184" t="s">
        <v>181</v>
      </c>
      <c r="F82" s="184" t="s">
        <v>182</v>
      </c>
      <c r="G82" s="184" t="s">
        <v>183</v>
      </c>
      <c r="H82" s="184" t="s">
        <v>184</v>
      </c>
      <c r="I82" s="185" t="s">
        <v>185</v>
      </c>
      <c r="K82" s="48" t="s">
        <v>146</v>
      </c>
      <c r="L82" s="48"/>
      <c r="M82" s="48"/>
      <c r="N82" s="65">
        <f>E41</f>
        <v>3</v>
      </c>
      <c r="O82" s="48" t="s">
        <v>0</v>
      </c>
      <c r="P82" s="182"/>
      <c r="Q82" s="182"/>
      <c r="R82" s="183"/>
    </row>
    <row r="83" spans="2:18" ht="14.4" customHeight="1" x14ac:dyDescent="0.3">
      <c r="C83" s="184"/>
      <c r="D83" s="184"/>
      <c r="E83" s="184"/>
      <c r="F83" s="184"/>
      <c r="G83" s="184"/>
      <c r="H83" s="184"/>
      <c r="I83" s="186"/>
      <c r="K83" s="182"/>
      <c r="L83" s="23"/>
      <c r="M83" s="24"/>
      <c r="N83" s="23"/>
      <c r="O83" s="25"/>
      <c r="P83" s="25"/>
      <c r="Q83" s="25"/>
      <c r="R83" s="23"/>
    </row>
    <row r="84" spans="2:18" ht="14.4" customHeight="1" x14ac:dyDescent="0.3">
      <c r="C84" s="187" t="s">
        <v>186</v>
      </c>
      <c r="D84" s="26" t="s">
        <v>187</v>
      </c>
      <c r="E84" s="27">
        <v>3.5200000000000002E-2</v>
      </c>
      <c r="F84" s="28">
        <f>E84*$D$50*$N$82*$N$82</f>
        <v>3.10365</v>
      </c>
      <c r="G84" s="29">
        <f>(0.5*F30*J49*E90/F31)*(1-SQRT((1-((4.6*F84*(10^6)/($F$30*$J$49*$E$90*$E$90))))))</f>
        <v>89.844114436653868</v>
      </c>
      <c r="H84" s="29">
        <f>$D$79*1000/G84</f>
        <v>559.69959302308098</v>
      </c>
      <c r="I84" s="30">
        <v>200</v>
      </c>
      <c r="K84" s="182"/>
      <c r="L84" s="23"/>
      <c r="N84" s="24"/>
      <c r="O84" s="23"/>
      <c r="P84" s="25"/>
      <c r="Q84" s="25"/>
      <c r="R84" s="23"/>
    </row>
    <row r="85" spans="2:18" x14ac:dyDescent="0.3">
      <c r="C85" s="188"/>
      <c r="D85" s="26" t="s">
        <v>188</v>
      </c>
      <c r="E85" s="27">
        <v>2.4E-2</v>
      </c>
      <c r="F85" s="28">
        <f>E85*$D$50*$N$82*$N$82</f>
        <v>2.1161249999999998</v>
      </c>
      <c r="G85" s="29">
        <f>(0.5*F30*J49*E90/F31)*(1-SQRT((1-((4.6*F85*(10^6)/($F$30*$J$49*$E$90*$E$90))))))</f>
        <v>60.812945055082508</v>
      </c>
      <c r="H85" s="29">
        <f t="shared" ref="H85:H87" si="0">$D$79*1000/G85</f>
        <v>826.89161395105953</v>
      </c>
      <c r="I85" s="30">
        <v>200</v>
      </c>
      <c r="K85" s="48" t="s">
        <v>189</v>
      </c>
      <c r="L85" t="s">
        <v>190</v>
      </c>
      <c r="O85" t="s">
        <v>191</v>
      </c>
      <c r="P85" s="25"/>
      <c r="Q85" s="25" t="s">
        <v>192</v>
      </c>
      <c r="R85" s="25"/>
    </row>
    <row r="86" spans="2:18" ht="14.4" customHeight="1" x14ac:dyDescent="0.3">
      <c r="C86" s="187" t="s">
        <v>193</v>
      </c>
      <c r="D86" s="26" t="s">
        <v>187</v>
      </c>
      <c r="E86" s="26">
        <v>4.6199999999999998E-2</v>
      </c>
      <c r="F86" s="28">
        <f>E86*$D$50*$N$82*$N$82</f>
        <v>4.0735406249999997</v>
      </c>
      <c r="G86" s="29">
        <f>(0.5*F30*J49*E90/F31)*(1-SQRT((1-((4.6*F86*(10^6)/($F$30*$J$49*$E$90*$E$90))))))</f>
        <v>118.78578056346358</v>
      </c>
      <c r="H86" s="29">
        <f t="shared" si="0"/>
        <v>423.33109272155838</v>
      </c>
      <c r="I86" s="30">
        <v>200</v>
      </c>
      <c r="K86" s="66">
        <f>F86*(10^6)</f>
        <v>4073540.6249999995</v>
      </c>
      <c r="M86">
        <f>(0.36*0.46)*1000*25</f>
        <v>4140</v>
      </c>
      <c r="O86">
        <f>(1-(0.42*0.46))</f>
        <v>0.80679999999999996</v>
      </c>
      <c r="P86" s="25"/>
      <c r="Q86" s="25"/>
      <c r="R86" s="25"/>
    </row>
    <row r="87" spans="2:18" x14ac:dyDescent="0.3">
      <c r="C87" s="188"/>
      <c r="D87" s="26" t="s">
        <v>188</v>
      </c>
      <c r="E87" s="26">
        <v>3.2000000000000001E-2</v>
      </c>
      <c r="F87" s="28">
        <f>E87*$D$50*$N$82*$N$82</f>
        <v>2.8214999999999999</v>
      </c>
      <c r="G87" s="29">
        <f>(0.5*F30*J49*E90/F31)*(1-SQRT((1-((4.6*F87*(10^6)/($F$30*$J$49*$E$90*$E$90))))))</f>
        <v>81.505385313245611</v>
      </c>
      <c r="H87" s="29">
        <f t="shared" si="0"/>
        <v>616.96186199787519</v>
      </c>
      <c r="I87" s="30">
        <v>200</v>
      </c>
      <c r="K87" s="11"/>
      <c r="L87" s="7"/>
      <c r="R87" s="7"/>
    </row>
    <row r="88" spans="2:18" x14ac:dyDescent="0.3">
      <c r="C88" s="11" t="s">
        <v>194</v>
      </c>
      <c r="D88" s="7"/>
      <c r="K88" s="32"/>
      <c r="M88" s="13"/>
      <c r="R88" s="7"/>
    </row>
    <row r="89" spans="2:18" x14ac:dyDescent="0.3">
      <c r="C89" s="71" t="s">
        <v>195</v>
      </c>
      <c r="D89" s="72"/>
      <c r="E89" s="73">
        <f>SQRT(K86/(M86*O86))</f>
        <v>34.922305770725281</v>
      </c>
      <c r="F89" s="72" t="s">
        <v>1</v>
      </c>
      <c r="L89" s="31"/>
      <c r="M89" s="7"/>
      <c r="R89" s="7"/>
    </row>
    <row r="90" spans="2:18" x14ac:dyDescent="0.3">
      <c r="C90" s="72" t="s">
        <v>196</v>
      </c>
      <c r="D90" s="72"/>
      <c r="E90" s="74">
        <f>J36</f>
        <v>81.25</v>
      </c>
      <c r="F90" s="72" t="s">
        <v>1</v>
      </c>
      <c r="M90" s="7"/>
      <c r="R90" s="7"/>
    </row>
    <row r="91" spans="2:18" x14ac:dyDescent="0.3">
      <c r="B91" t="s">
        <v>2</v>
      </c>
      <c r="C91" s="72" t="s">
        <v>197</v>
      </c>
      <c r="D91" s="72"/>
      <c r="E91" s="74">
        <f>F38*1000</f>
        <v>101.25</v>
      </c>
      <c r="F91" s="72" t="s">
        <v>1</v>
      </c>
      <c r="G91" t="s">
        <v>198</v>
      </c>
      <c r="J91" s="22"/>
      <c r="L91" s="33"/>
      <c r="P91" s="22"/>
      <c r="R91" s="7"/>
    </row>
    <row r="92" spans="2:18" x14ac:dyDescent="0.3">
      <c r="B92" s="50" t="s">
        <v>199</v>
      </c>
      <c r="D92" s="48" t="s">
        <v>200</v>
      </c>
      <c r="E92" s="48" t="s">
        <v>201</v>
      </c>
      <c r="F92" s="48"/>
      <c r="K92" s="194"/>
      <c r="L92" s="194"/>
      <c r="M92" s="189"/>
      <c r="N92" s="194"/>
      <c r="O92" s="194"/>
      <c r="P92" s="182"/>
      <c r="Q92" s="182"/>
      <c r="R92" s="183"/>
    </row>
    <row r="93" spans="2:18" ht="14.4" customHeight="1" x14ac:dyDescent="0.3">
      <c r="C93" s="190" t="s">
        <v>179</v>
      </c>
      <c r="D93" s="190" t="s">
        <v>180</v>
      </c>
      <c r="E93" s="195" t="s">
        <v>181</v>
      </c>
      <c r="F93" s="190" t="s">
        <v>202</v>
      </c>
      <c r="G93" s="190" t="s">
        <v>203</v>
      </c>
      <c r="H93" s="190" t="s">
        <v>184</v>
      </c>
      <c r="I93" s="190" t="s">
        <v>185</v>
      </c>
      <c r="K93" s="194"/>
      <c r="L93" s="194"/>
      <c r="M93" s="189"/>
      <c r="N93" s="194"/>
      <c r="O93" s="194"/>
      <c r="P93" s="182"/>
      <c r="Q93" s="182"/>
      <c r="R93" s="183"/>
    </row>
    <row r="94" spans="2:18" x14ac:dyDescent="0.3">
      <c r="C94" s="191"/>
      <c r="D94" s="191"/>
      <c r="E94" s="196"/>
      <c r="F94" s="191"/>
      <c r="G94" s="191"/>
      <c r="H94" s="191"/>
      <c r="I94" s="191"/>
      <c r="K94" s="192" t="s">
        <v>189</v>
      </c>
      <c r="L94" s="23" t="s">
        <v>190</v>
      </c>
      <c r="M94" s="24"/>
      <c r="N94" s="23" t="s">
        <v>191</v>
      </c>
      <c r="O94" s="23"/>
      <c r="P94" s="25"/>
      <c r="Q94" s="25"/>
      <c r="R94" s="23"/>
    </row>
    <row r="95" spans="2:18" ht="14.4" customHeight="1" x14ac:dyDescent="0.3">
      <c r="C95" s="187" t="s">
        <v>186</v>
      </c>
      <c r="D95" s="26" t="s">
        <v>187</v>
      </c>
      <c r="E95" s="27">
        <v>3.8399999999999997E-2</v>
      </c>
      <c r="F95" s="28">
        <f>E95*$D$50*$N$82*$N$82</f>
        <v>3.3858000000000001</v>
      </c>
      <c r="G95" s="29">
        <f>(0.5*F30*J49*E90/F31)*(1-SQRT((1-((4.6*F95*(10^6)/($F$30*$J$49*$E$90*$E$90))))))</f>
        <v>98.218814917876173</v>
      </c>
      <c r="H95" s="29">
        <f>$D$79*1000/G95</f>
        <v>511.97638993872755</v>
      </c>
      <c r="I95" s="30">
        <v>200</v>
      </c>
      <c r="K95" s="192"/>
      <c r="L95" s="23">
        <f>4140</f>
        <v>4140</v>
      </c>
      <c r="M95" s="24"/>
      <c r="N95" s="24">
        <f>(1-(0.42*0.46))</f>
        <v>0.80679999999999996</v>
      </c>
      <c r="O95" s="23"/>
      <c r="P95" s="25"/>
      <c r="Q95" s="25"/>
      <c r="R95" s="23"/>
    </row>
    <row r="96" spans="2:18" x14ac:dyDescent="0.3">
      <c r="C96" s="188"/>
      <c r="D96" s="26" t="s">
        <v>188</v>
      </c>
      <c r="E96" s="27">
        <v>2.8000000000000001E-2</v>
      </c>
      <c r="F96" s="34">
        <f>E96*$D$50*$N$82*$N$82</f>
        <v>2.4688125000000003</v>
      </c>
      <c r="G96" s="29">
        <f>(0.5*F30*J49*E90/F31)*(1-SQRT((1-((4.6*F96*(10^6)/($F$30*$J$49*$E$90*$E$90))))))</f>
        <v>71.131859427855915</v>
      </c>
      <c r="H96" s="29">
        <f t="shared" ref="H96:H98" si="1">$D$79*1000/G96</f>
        <v>706.93659198822968</v>
      </c>
      <c r="I96" s="30">
        <v>200</v>
      </c>
      <c r="K96" s="193">
        <f>F97*(10^6)</f>
        <v>4443862.5</v>
      </c>
      <c r="L96" s="23"/>
      <c r="M96" s="23"/>
      <c r="N96" s="23"/>
      <c r="O96" s="35"/>
      <c r="P96" s="25"/>
      <c r="Q96" s="25"/>
      <c r="R96" s="23"/>
    </row>
    <row r="97" spans="2:18" ht="14.4" customHeight="1" x14ac:dyDescent="0.3">
      <c r="C97" s="187" t="s">
        <v>193</v>
      </c>
      <c r="D97" s="26" t="s">
        <v>187</v>
      </c>
      <c r="E97" s="26">
        <v>5.04E-2</v>
      </c>
      <c r="F97" s="28">
        <f>E97*$D$50*$N$82*$N$82</f>
        <v>4.4438624999999998</v>
      </c>
      <c r="G97" s="36">
        <f>(0.5*F30*J49*E90/F31)*(1-SQRT((1-((4.6*F97*(10^6)/($F$30*$J$49*$E$90*$E$90))))))</f>
        <v>129.95244964129807</v>
      </c>
      <c r="H97" s="29">
        <f t="shared" si="1"/>
        <v>386.95472401263453</v>
      </c>
      <c r="I97" s="30">
        <v>200</v>
      </c>
      <c r="K97" s="192"/>
      <c r="L97" s="23"/>
      <c r="M97" s="23"/>
      <c r="N97" s="23"/>
      <c r="O97" s="23"/>
      <c r="P97" s="25"/>
      <c r="Q97" s="25"/>
      <c r="R97" s="23"/>
    </row>
    <row r="98" spans="2:18" x14ac:dyDescent="0.3">
      <c r="C98" s="188"/>
      <c r="D98" s="26" t="s">
        <v>188</v>
      </c>
      <c r="E98" s="26">
        <v>3.6999999999999998E-2</v>
      </c>
      <c r="F98" s="28">
        <f>E98*$D$50*$N$82*$N$82</f>
        <v>3.262359375</v>
      </c>
      <c r="G98" s="29">
        <f>(0.5*F30*J49*E90/F31)*(1-SQRT((1-((4.6*F98*(10^6)/($F$30*$J$49*$E$90*$E$90))))))</f>
        <v>94.550427434600806</v>
      </c>
      <c r="H98" s="29">
        <f t="shared" si="1"/>
        <v>531.84015821077276</v>
      </c>
      <c r="I98" s="30">
        <v>200</v>
      </c>
      <c r="K98" s="11"/>
      <c r="L98" s="7"/>
      <c r="R98" s="7"/>
    </row>
    <row r="99" spans="2:18" x14ac:dyDescent="0.3">
      <c r="C99" s="11" t="s">
        <v>194</v>
      </c>
      <c r="D99" s="7"/>
      <c r="K99" s="32"/>
      <c r="M99" s="13"/>
      <c r="R99" s="7"/>
    </row>
    <row r="100" spans="2:18" x14ac:dyDescent="0.3">
      <c r="C100" s="71" t="s">
        <v>195</v>
      </c>
      <c r="D100" s="72"/>
      <c r="E100" s="73">
        <f>SQRT(K96/(M86*O86))</f>
        <v>36.475158774815981</v>
      </c>
      <c r="F100" s="72" t="s">
        <v>1</v>
      </c>
      <c r="M100" s="7"/>
      <c r="R100" s="7"/>
    </row>
    <row r="101" spans="2:18" x14ac:dyDescent="0.3">
      <c r="C101" s="72" t="s">
        <v>196</v>
      </c>
      <c r="D101" s="72"/>
      <c r="E101" s="74">
        <f>J36</f>
        <v>81.25</v>
      </c>
      <c r="F101" s="72" t="s">
        <v>1</v>
      </c>
      <c r="M101" s="7"/>
      <c r="R101" s="7"/>
    </row>
    <row r="102" spans="2:18" x14ac:dyDescent="0.3">
      <c r="C102" s="72" t="s">
        <v>197</v>
      </c>
      <c r="D102" s="72"/>
      <c r="E102" s="74">
        <f>F38*1000</f>
        <v>101.25</v>
      </c>
      <c r="F102" s="72" t="s">
        <v>1</v>
      </c>
      <c r="J102" s="22"/>
      <c r="P102" s="22"/>
      <c r="R102" s="7"/>
    </row>
    <row r="103" spans="2:18" x14ac:dyDescent="0.3">
      <c r="B103" s="50" t="s">
        <v>204</v>
      </c>
      <c r="D103" s="48" t="s">
        <v>205</v>
      </c>
      <c r="E103" s="48"/>
      <c r="F103" s="48"/>
      <c r="K103" s="194"/>
      <c r="L103" s="194"/>
      <c r="M103" s="189"/>
      <c r="N103" s="194"/>
      <c r="O103" s="194"/>
      <c r="P103" s="182"/>
      <c r="Q103" s="182"/>
      <c r="R103" s="183"/>
    </row>
    <row r="104" spans="2:18" ht="14.4" customHeight="1" x14ac:dyDescent="0.3">
      <c r="C104" s="199" t="s">
        <v>179</v>
      </c>
      <c r="D104" s="199" t="s">
        <v>180</v>
      </c>
      <c r="E104" s="200" t="s">
        <v>181</v>
      </c>
      <c r="F104" s="199" t="s">
        <v>182</v>
      </c>
      <c r="G104" s="199" t="s">
        <v>203</v>
      </c>
      <c r="H104" s="190" t="s">
        <v>184</v>
      </c>
      <c r="I104" s="197" t="s">
        <v>185</v>
      </c>
      <c r="J104" s="48" t="s">
        <v>206</v>
      </c>
      <c r="K104" s="194"/>
      <c r="L104" s="194"/>
      <c r="M104" s="189"/>
      <c r="N104" s="194"/>
      <c r="O104" s="194"/>
      <c r="P104" s="182"/>
      <c r="Q104" s="182"/>
      <c r="R104" s="183"/>
    </row>
    <row r="105" spans="2:18" x14ac:dyDescent="0.3">
      <c r="C105" s="199"/>
      <c r="D105" s="199"/>
      <c r="E105" s="200"/>
      <c r="F105" s="199"/>
      <c r="G105" s="199"/>
      <c r="H105" s="191"/>
      <c r="I105" s="198"/>
      <c r="J105" s="66">
        <f>F108*(10^6)</f>
        <v>4937625.0000000009</v>
      </c>
      <c r="K105" s="182"/>
      <c r="L105" s="23"/>
      <c r="M105" s="24"/>
      <c r="N105" s="23"/>
      <c r="O105" s="23"/>
      <c r="P105" s="25"/>
      <c r="Q105" s="25"/>
      <c r="R105" s="23"/>
    </row>
    <row r="106" spans="2:18" x14ac:dyDescent="0.3">
      <c r="C106" s="187" t="s">
        <v>186</v>
      </c>
      <c r="D106" s="26" t="s">
        <v>187</v>
      </c>
      <c r="E106" s="27">
        <v>4.2999999999999997E-2</v>
      </c>
      <c r="F106" s="28">
        <f>E106*$D$50*$N$82*$N$82</f>
        <v>3.791390625</v>
      </c>
      <c r="G106" s="29">
        <f>(0.5*F30*J49*E90/F31)*(1-SQRT((1-((4.6*F106*(10^6)/($F$30*$J$49*$E$90*$E$90))))))</f>
        <v>110.32141188825025</v>
      </c>
      <c r="H106" s="37">
        <f>$D$79*1000/G106</f>
        <v>455.81101098172172</v>
      </c>
      <c r="I106" s="30">
        <v>200</v>
      </c>
      <c r="K106" s="182"/>
      <c r="L106" s="23"/>
      <c r="M106" s="24"/>
      <c r="N106" s="24"/>
      <c r="O106" s="23"/>
      <c r="P106" s="25"/>
      <c r="Q106" s="25"/>
      <c r="R106" s="23"/>
    </row>
    <row r="107" spans="2:18" x14ac:dyDescent="0.3">
      <c r="C107" s="188"/>
      <c r="D107" s="26" t="s">
        <v>188</v>
      </c>
      <c r="E107" s="27">
        <v>2.8000000000000001E-2</v>
      </c>
      <c r="F107" s="34">
        <f>E107*$D$50*$N$82*$N$82</f>
        <v>2.4688125000000003</v>
      </c>
      <c r="G107" s="29">
        <f>(0.5*F30*J49*E90/F31)*(1-SQRT((1-((4.6*F107*(10^6)/($F$30*$J$49*$E$90*$E$90))))))</f>
        <v>71.131859427855915</v>
      </c>
      <c r="H107" s="37">
        <f t="shared" ref="H107:H109" si="2">$D$79*1000/G107</f>
        <v>706.93659198822968</v>
      </c>
      <c r="I107" s="30">
        <v>200</v>
      </c>
      <c r="K107" s="182"/>
      <c r="L107" s="23"/>
      <c r="M107" s="23"/>
      <c r="N107" s="23"/>
      <c r="O107" s="35"/>
      <c r="P107" s="25"/>
      <c r="Q107" s="25"/>
      <c r="R107" s="23"/>
    </row>
    <row r="108" spans="2:18" x14ac:dyDescent="0.3">
      <c r="C108" s="187" t="s">
        <v>193</v>
      </c>
      <c r="D108" s="26" t="s">
        <v>187</v>
      </c>
      <c r="E108" s="26">
        <v>5.6000000000000001E-2</v>
      </c>
      <c r="F108" s="28">
        <f>E108*$D$50*$N$82*$N$82</f>
        <v>4.9376250000000006</v>
      </c>
      <c r="G108" s="36">
        <f>(0.5*F30*J49*E90/F31)*(1-SQRT((1-((4.6*F108*(10^6)/($F$30*$J$49*$E$90*$E$90))))))</f>
        <v>144.94416914965774</v>
      </c>
      <c r="H108" s="37">
        <f t="shared" si="2"/>
        <v>346.93161222507189</v>
      </c>
      <c r="I108" s="30">
        <v>200</v>
      </c>
      <c r="K108" s="182"/>
      <c r="L108" s="23"/>
      <c r="M108" s="23"/>
      <c r="N108" s="23"/>
      <c r="O108" s="23"/>
      <c r="P108" s="25"/>
      <c r="Q108" s="25"/>
      <c r="R108" s="23"/>
    </row>
    <row r="109" spans="2:18" x14ac:dyDescent="0.3">
      <c r="C109" s="188"/>
      <c r="D109" s="26" t="s">
        <v>188</v>
      </c>
      <c r="E109" s="26">
        <v>3.6999999999999998E-2</v>
      </c>
      <c r="F109" s="28">
        <f>E109*$D$50*$N$82*$N$82</f>
        <v>3.262359375</v>
      </c>
      <c r="G109" s="29">
        <f>(0.5*F30*J49*E90/F31)*(1-SQRT((1-((4.6*F109*(10^6)/($F$30*$J$49*$E$90*$E$90))))))</f>
        <v>94.550427434600806</v>
      </c>
      <c r="H109" s="37">
        <f t="shared" si="2"/>
        <v>531.84015821077276</v>
      </c>
      <c r="I109" s="30">
        <v>200</v>
      </c>
      <c r="K109" s="11"/>
      <c r="L109" s="7"/>
      <c r="R109" s="7"/>
    </row>
    <row r="110" spans="2:18" x14ac:dyDescent="0.3">
      <c r="C110" s="11" t="s">
        <v>194</v>
      </c>
      <c r="D110" s="7"/>
      <c r="K110" s="32"/>
      <c r="M110" s="13"/>
      <c r="R110" s="7"/>
    </row>
    <row r="111" spans="2:18" x14ac:dyDescent="0.3">
      <c r="C111" s="71" t="s">
        <v>195</v>
      </c>
      <c r="D111" s="72"/>
      <c r="E111" s="73">
        <f>SQRT(J105/(M86*O86))</f>
        <v>38.448193248231739</v>
      </c>
      <c r="F111" s="72" t="s">
        <v>1</v>
      </c>
      <c r="M111" s="7"/>
      <c r="R111" s="7"/>
    </row>
    <row r="112" spans="2:18" x14ac:dyDescent="0.3">
      <c r="C112" s="72" t="s">
        <v>196</v>
      </c>
      <c r="D112" s="72"/>
      <c r="E112" s="74">
        <f>J36</f>
        <v>81.25</v>
      </c>
      <c r="F112" s="72" t="s">
        <v>1</v>
      </c>
      <c r="M112" s="7"/>
      <c r="R112" s="7"/>
    </row>
    <row r="113" spans="2:18" x14ac:dyDescent="0.3">
      <c r="C113" s="72" t="s">
        <v>197</v>
      </c>
      <c r="D113" s="72"/>
      <c r="E113" s="74">
        <f>F38*1000</f>
        <v>101.25</v>
      </c>
      <c r="F113" s="72" t="s">
        <v>1</v>
      </c>
      <c r="J113" s="22"/>
      <c r="P113" s="22"/>
      <c r="R113" s="7"/>
    </row>
    <row r="114" spans="2:18" x14ac:dyDescent="0.3">
      <c r="B114" s="50" t="s">
        <v>207</v>
      </c>
      <c r="D114" s="48" t="s">
        <v>208</v>
      </c>
      <c r="E114" s="48"/>
      <c r="F114" s="48"/>
      <c r="G114" s="48"/>
      <c r="K114" s="194"/>
      <c r="L114" s="194"/>
      <c r="M114" s="189"/>
      <c r="N114" s="194"/>
      <c r="R114" s="183"/>
    </row>
    <row r="115" spans="2:18" ht="14.4" customHeight="1" x14ac:dyDescent="0.3">
      <c r="C115" s="199" t="s">
        <v>179</v>
      </c>
      <c r="D115" s="199" t="s">
        <v>180</v>
      </c>
      <c r="E115" s="200" t="s">
        <v>181</v>
      </c>
      <c r="F115" s="199" t="s">
        <v>182</v>
      </c>
      <c r="G115" s="199" t="s">
        <v>203</v>
      </c>
      <c r="H115" s="190" t="s">
        <v>184</v>
      </c>
      <c r="I115" s="197" t="s">
        <v>185</v>
      </c>
      <c r="J115" s="48" t="s">
        <v>206</v>
      </c>
      <c r="K115" s="194"/>
      <c r="L115" s="194"/>
      <c r="M115" s="189"/>
      <c r="N115" s="194"/>
      <c r="R115" s="183"/>
    </row>
    <row r="116" spans="2:18" x14ac:dyDescent="0.3">
      <c r="C116" s="199"/>
      <c r="D116" s="199"/>
      <c r="E116" s="200"/>
      <c r="F116" s="199"/>
      <c r="G116" s="199"/>
      <c r="H116" s="191"/>
      <c r="I116" s="198"/>
      <c r="J116" s="66">
        <f>F119*(10^6)</f>
        <v>5643000</v>
      </c>
      <c r="K116" s="182"/>
      <c r="L116" s="23"/>
      <c r="M116" s="24"/>
      <c r="N116" s="23"/>
      <c r="R116" s="23"/>
    </row>
    <row r="117" spans="2:18" x14ac:dyDescent="0.3">
      <c r="C117" s="187" t="s">
        <v>186</v>
      </c>
      <c r="D117" s="26" t="s">
        <v>187</v>
      </c>
      <c r="E117" s="27">
        <v>4.7199999999999999E-2</v>
      </c>
      <c r="F117" s="28">
        <f>E117*$D$50*$N$82*$N$82</f>
        <v>4.1617125000000001</v>
      </c>
      <c r="G117" s="29">
        <f>(0.5*F30*J49*E90/F31)*(1-SQRT((1-((4.6*F117*(10^6)/($F$30*$J$49*$E$90*$E$90))))))</f>
        <v>121.43858915336885</v>
      </c>
      <c r="H117" s="37">
        <f>$D$79*1000/G117</f>
        <v>414.08348562257072</v>
      </c>
      <c r="I117" s="30">
        <v>200</v>
      </c>
      <c r="K117" s="182"/>
      <c r="L117" s="23"/>
      <c r="M117" s="24"/>
      <c r="N117" s="24"/>
      <c r="R117" s="23"/>
    </row>
    <row r="118" spans="2:18" x14ac:dyDescent="0.3">
      <c r="C118" s="188"/>
      <c r="D118" s="26" t="s">
        <v>188</v>
      </c>
      <c r="E118" s="27">
        <v>3.5000000000000003E-2</v>
      </c>
      <c r="F118" s="28">
        <f>E118*$D$50*$N$82*$N$82</f>
        <v>3.0860156250000004</v>
      </c>
      <c r="G118" s="29">
        <f>(0.5*F30*J49*E90/F31)*(1-SQRT((1-((4.6*F118*(10^6)/($F$30*$J$49*$E$90*$E$90))))))</f>
        <v>89.321894836217112</v>
      </c>
      <c r="H118" s="37">
        <f t="shared" ref="H118:H120" si="3">$D$79*1000/G118</f>
        <v>562.97187131911437</v>
      </c>
      <c r="I118" s="30">
        <v>200</v>
      </c>
      <c r="K118" s="182"/>
      <c r="L118" s="23"/>
      <c r="M118" s="23"/>
      <c r="N118" s="23"/>
      <c r="O118" s="35"/>
      <c r="P118" s="25"/>
      <c r="Q118" s="25"/>
      <c r="R118" s="23"/>
    </row>
    <row r="119" spans="2:18" x14ac:dyDescent="0.3">
      <c r="C119" s="187" t="s">
        <v>193</v>
      </c>
      <c r="D119" s="26" t="s">
        <v>187</v>
      </c>
      <c r="E119" s="26">
        <v>6.4000000000000001E-2</v>
      </c>
      <c r="F119" s="28">
        <f>E119*$D$50*$N$82*$N$82</f>
        <v>5.6429999999999998</v>
      </c>
      <c r="G119" s="36">
        <f>(0.5*F30*J49*E90/F31)*(1-SQRT((1-((4.6*F119*(10^6)/($F$30*$J$49*$E$90*$E$90))))))</f>
        <v>166.56998388463444</v>
      </c>
      <c r="H119" s="37">
        <f t="shared" si="3"/>
        <v>301.88941076287745</v>
      </c>
      <c r="I119" s="30">
        <v>200</v>
      </c>
      <c r="K119" s="182"/>
      <c r="L119" s="23"/>
      <c r="M119" s="23"/>
      <c r="N119" s="23"/>
      <c r="O119" s="23"/>
      <c r="P119" s="25"/>
      <c r="Q119" s="25"/>
      <c r="R119" s="23"/>
    </row>
    <row r="120" spans="2:18" x14ac:dyDescent="0.3">
      <c r="C120" s="188"/>
      <c r="D120" s="26" t="s">
        <v>188</v>
      </c>
      <c r="E120" s="26">
        <v>4.7E-2</v>
      </c>
      <c r="F120" s="28">
        <f>E120*$D$50*$N$82*$N$82</f>
        <v>4.1440781250000001</v>
      </c>
      <c r="G120" s="29">
        <f>(0.5*F30*J49*E90/F31)*(1-SQRT((1-((4.6*F120*(10^6)/($F$30*$J$49*$E$90*$E$90))))))</f>
        <v>120.90773272824228</v>
      </c>
      <c r="H120" s="37">
        <f t="shared" si="3"/>
        <v>415.90155692306911</v>
      </c>
      <c r="I120" s="30">
        <v>200</v>
      </c>
      <c r="K120" s="11"/>
      <c r="L120" s="7"/>
    </row>
    <row r="121" spans="2:18" x14ac:dyDescent="0.3">
      <c r="C121" s="11" t="s">
        <v>194</v>
      </c>
      <c r="D121" s="7"/>
      <c r="K121" s="32"/>
      <c r="M121" s="13"/>
    </row>
    <row r="122" spans="2:18" x14ac:dyDescent="0.3">
      <c r="C122" s="71" t="s">
        <v>195</v>
      </c>
      <c r="D122" s="72"/>
      <c r="E122" s="73">
        <f>SQRT(J116/(M86*O86))</f>
        <v>41.102847507245215</v>
      </c>
      <c r="F122" s="72" t="s">
        <v>1</v>
      </c>
      <c r="M122" s="7"/>
    </row>
    <row r="123" spans="2:18" x14ac:dyDescent="0.3">
      <c r="C123" s="72" t="s">
        <v>196</v>
      </c>
      <c r="D123" s="72"/>
      <c r="E123" s="74">
        <f>J36</f>
        <v>81.25</v>
      </c>
      <c r="F123" s="72" t="s">
        <v>1</v>
      </c>
      <c r="M123" s="7"/>
    </row>
    <row r="124" spans="2:18" x14ac:dyDescent="0.3">
      <c r="C124" s="72" t="s">
        <v>197</v>
      </c>
      <c r="D124" s="72"/>
      <c r="E124" s="74">
        <f>F38*1000</f>
        <v>101.25</v>
      </c>
      <c r="F124" s="72" t="s">
        <v>1</v>
      </c>
    </row>
    <row r="125" spans="2:18" x14ac:dyDescent="0.3">
      <c r="J125" s="14"/>
    </row>
    <row r="126" spans="2:18" x14ac:dyDescent="0.3">
      <c r="B126" s="14"/>
    </row>
    <row r="127" spans="2:18" x14ac:dyDescent="0.3">
      <c r="P127" s="7"/>
    </row>
    <row r="128" spans="2:18" x14ac:dyDescent="0.3">
      <c r="O128" s="11"/>
    </row>
    <row r="129" spans="2:18" x14ac:dyDescent="0.3">
      <c r="G129" s="11"/>
      <c r="H129" s="11"/>
      <c r="I129" s="11"/>
      <c r="P129" s="38"/>
    </row>
    <row r="130" spans="2:18" x14ac:dyDescent="0.3">
      <c r="Q130" s="201"/>
      <c r="R130" s="201"/>
    </row>
    <row r="131" spans="2:18" ht="14.4" customHeight="1" x14ac:dyDescent="0.3">
      <c r="Q131" s="201"/>
      <c r="R131" s="201"/>
    </row>
    <row r="132" spans="2:18" x14ac:dyDescent="0.3">
      <c r="P132" s="38"/>
    </row>
    <row r="133" spans="2:18" x14ac:dyDescent="0.3">
      <c r="O133" s="21"/>
      <c r="P133" s="7"/>
      <c r="Q133" s="32"/>
    </row>
    <row r="134" spans="2:18" x14ac:dyDescent="0.3">
      <c r="G134" s="21"/>
      <c r="H134" s="21"/>
      <c r="I134" s="21"/>
      <c r="O134" s="39"/>
      <c r="P134" s="6"/>
    </row>
    <row r="135" spans="2:18" x14ac:dyDescent="0.3">
      <c r="G135" s="39"/>
      <c r="H135" s="39"/>
      <c r="I135" s="39"/>
      <c r="N135" s="22"/>
    </row>
    <row r="136" spans="2:18" x14ac:dyDescent="0.3">
      <c r="F136" s="22"/>
      <c r="M136" s="40"/>
      <c r="N136" s="22"/>
    </row>
    <row r="137" spans="2:18" x14ac:dyDescent="0.3">
      <c r="E137" s="41"/>
      <c r="F137" s="22"/>
      <c r="K137" s="42"/>
      <c r="L137" s="194"/>
      <c r="M137" s="194"/>
      <c r="N137" s="43"/>
      <c r="O137" s="43"/>
      <c r="P137" s="194"/>
      <c r="Q137" s="194"/>
    </row>
    <row r="138" spans="2:18" ht="14.4" customHeight="1" x14ac:dyDescent="0.3">
      <c r="N138" s="42"/>
    </row>
    <row r="139" spans="2:18" x14ac:dyDescent="0.3">
      <c r="O139" s="42"/>
    </row>
    <row r="140" spans="2:18" x14ac:dyDescent="0.3">
      <c r="O140" s="42"/>
    </row>
    <row r="141" spans="2:18" x14ac:dyDescent="0.3">
      <c r="O141" s="42"/>
    </row>
    <row r="144" spans="2:18" x14ac:dyDescent="0.3">
      <c r="B144" s="22"/>
    </row>
  </sheetData>
  <mergeCells count="76">
    <mergeCell ref="Q130:R131"/>
    <mergeCell ref="L137:M137"/>
    <mergeCell ref="P137:Q137"/>
    <mergeCell ref="G115:G116"/>
    <mergeCell ref="H115:H116"/>
    <mergeCell ref="I115:I116"/>
    <mergeCell ref="K116:K117"/>
    <mergeCell ref="L114:L115"/>
    <mergeCell ref="M114:M115"/>
    <mergeCell ref="N114:N115"/>
    <mergeCell ref="R114:R115"/>
    <mergeCell ref="C117:C118"/>
    <mergeCell ref="K118:K119"/>
    <mergeCell ref="C119:C120"/>
    <mergeCell ref="C108:C109"/>
    <mergeCell ref="K114:K115"/>
    <mergeCell ref="C115:C116"/>
    <mergeCell ref="D115:D116"/>
    <mergeCell ref="E115:E116"/>
    <mergeCell ref="F115:F116"/>
    <mergeCell ref="R103:R104"/>
    <mergeCell ref="C104:C105"/>
    <mergeCell ref="D104:D105"/>
    <mergeCell ref="E104:E105"/>
    <mergeCell ref="F104:F105"/>
    <mergeCell ref="G104:G105"/>
    <mergeCell ref="H104:H105"/>
    <mergeCell ref="N103:N104"/>
    <mergeCell ref="C106:C107"/>
    <mergeCell ref="K107:K108"/>
    <mergeCell ref="O103:O104"/>
    <mergeCell ref="P103:P104"/>
    <mergeCell ref="Q103:Q104"/>
    <mergeCell ref="K103:K104"/>
    <mergeCell ref="L103:L104"/>
    <mergeCell ref="M103:M104"/>
    <mergeCell ref="I104:I105"/>
    <mergeCell ref="K105:K106"/>
    <mergeCell ref="N92:N93"/>
    <mergeCell ref="O92:O93"/>
    <mergeCell ref="P92:P93"/>
    <mergeCell ref="Q92:Q93"/>
    <mergeCell ref="R92:R93"/>
    <mergeCell ref="C86:C87"/>
    <mergeCell ref="K92:K93"/>
    <mergeCell ref="L92:L93"/>
    <mergeCell ref="C93:C94"/>
    <mergeCell ref="D93:D94"/>
    <mergeCell ref="E93:E94"/>
    <mergeCell ref="F93:F94"/>
    <mergeCell ref="G93:G94"/>
    <mergeCell ref="M92:M93"/>
    <mergeCell ref="H93:H94"/>
    <mergeCell ref="I93:I94"/>
    <mergeCell ref="K94:K95"/>
    <mergeCell ref="C95:C96"/>
    <mergeCell ref="K96:K97"/>
    <mergeCell ref="C97:C98"/>
    <mergeCell ref="P81:P82"/>
    <mergeCell ref="Q81:Q82"/>
    <mergeCell ref="R81:R82"/>
    <mergeCell ref="C82:C83"/>
    <mergeCell ref="D82:D83"/>
    <mergeCell ref="E82:E83"/>
    <mergeCell ref="F82:F83"/>
    <mergeCell ref="G82:G83"/>
    <mergeCell ref="H82:H83"/>
    <mergeCell ref="I82:I83"/>
    <mergeCell ref="K83:K84"/>
    <mergeCell ref="C84:C85"/>
    <mergeCell ref="G3:J3"/>
    <mergeCell ref="F25:G25"/>
    <mergeCell ref="P36:R37"/>
    <mergeCell ref="N76:O76"/>
    <mergeCell ref="Q76:R77"/>
    <mergeCell ref="F77:G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0"/>
  <sheetViews>
    <sheetView topLeftCell="A14" zoomScale="65" zoomScaleNormal="65" workbookViewId="0">
      <selection activeCell="S37" sqref="S37"/>
    </sheetView>
  </sheetViews>
  <sheetFormatPr defaultRowHeight="14.4" x14ac:dyDescent="0.3"/>
  <cols>
    <col min="1" max="1" width="20.88671875" style="23" customWidth="1"/>
    <col min="2" max="2" width="12.33203125" style="23" customWidth="1"/>
    <col min="3" max="3" width="9.33203125" style="23" customWidth="1"/>
    <col min="4" max="4" width="16.109375" style="23" customWidth="1"/>
    <col min="5" max="5" width="12.77734375" style="23" customWidth="1"/>
    <col min="6" max="6" width="15.33203125" style="23" customWidth="1"/>
    <col min="7" max="7" width="17" style="23" customWidth="1"/>
    <col min="8" max="8" width="14" style="23" customWidth="1"/>
    <col min="9" max="9" width="13" style="23" customWidth="1"/>
    <col min="10" max="10" width="15.21875" style="23" customWidth="1"/>
    <col min="11" max="11" width="11.5546875" style="23" bestFit="1" customWidth="1"/>
    <col min="12" max="12" width="12.88671875" style="23" customWidth="1"/>
    <col min="13" max="13" width="11.5546875" style="23" customWidth="1"/>
    <col min="14" max="15" width="8.88671875" style="23"/>
    <col min="16" max="16" width="18.77734375" style="23" customWidth="1"/>
    <col min="17" max="17" width="16.33203125" style="23" customWidth="1"/>
    <col min="18" max="18" width="10.5546875" style="23" bestFit="1" customWidth="1"/>
    <col min="19" max="16384" width="8.88671875" style="23"/>
  </cols>
  <sheetData>
    <row r="1" spans="1:14" x14ac:dyDescent="0.3">
      <c r="A1" s="158" t="s">
        <v>373</v>
      </c>
      <c r="B1" s="158"/>
      <c r="F1" s="157"/>
    </row>
    <row r="3" spans="1:14" x14ac:dyDescent="0.3">
      <c r="A3" s="128" t="s">
        <v>68</v>
      </c>
      <c r="B3" s="127"/>
      <c r="C3" s="127"/>
      <c r="D3" s="127"/>
      <c r="E3" s="127"/>
      <c r="F3" s="127"/>
      <c r="G3" s="127"/>
    </row>
    <row r="4" spans="1:14" x14ac:dyDescent="0.3">
      <c r="A4" s="156" t="s">
        <v>326</v>
      </c>
      <c r="B4" s="127">
        <v>3250</v>
      </c>
      <c r="C4" s="127" t="s">
        <v>1</v>
      </c>
      <c r="D4" s="142" t="s">
        <v>287</v>
      </c>
      <c r="E4" s="127">
        <v>3</v>
      </c>
      <c r="F4" s="127" t="s">
        <v>288</v>
      </c>
      <c r="G4" s="127"/>
    </row>
    <row r="5" spans="1:14" x14ac:dyDescent="0.3">
      <c r="A5" s="142"/>
      <c r="B5" s="127"/>
      <c r="C5" s="127"/>
      <c r="D5" s="142" t="s">
        <v>289</v>
      </c>
      <c r="E5" s="127">
        <f>3.53</f>
        <v>3.53</v>
      </c>
      <c r="F5" s="127" t="s">
        <v>288</v>
      </c>
      <c r="G5" s="127" t="s">
        <v>290</v>
      </c>
    </row>
    <row r="6" spans="1:14" x14ac:dyDescent="0.3">
      <c r="A6" s="156" t="s">
        <v>327</v>
      </c>
      <c r="B6" s="127">
        <v>4000</v>
      </c>
      <c r="C6" s="127" t="s">
        <v>1</v>
      </c>
      <c r="D6" s="142" t="s">
        <v>291</v>
      </c>
      <c r="E6" s="127">
        <f>E4+E5</f>
        <v>6.5299999999999994</v>
      </c>
      <c r="F6" s="127" t="s">
        <v>288</v>
      </c>
      <c r="G6" s="127"/>
    </row>
    <row r="7" spans="1:14" x14ac:dyDescent="0.3">
      <c r="A7" s="142" t="s">
        <v>292</v>
      </c>
      <c r="B7" s="127">
        <v>250</v>
      </c>
      <c r="C7" s="127" t="s">
        <v>1</v>
      </c>
      <c r="D7" s="142" t="s">
        <v>293</v>
      </c>
      <c r="E7" s="127">
        <v>25</v>
      </c>
      <c r="F7" s="127" t="s">
        <v>294</v>
      </c>
      <c r="G7" s="127"/>
    </row>
    <row r="8" spans="1:14" x14ac:dyDescent="0.3">
      <c r="A8" s="142" t="s">
        <v>295</v>
      </c>
      <c r="B8" s="127">
        <f>B6/B4</f>
        <v>1.2307692307692308</v>
      </c>
      <c r="C8" s="127"/>
      <c r="D8" s="142" t="s">
        <v>296</v>
      </c>
      <c r="E8" s="127">
        <v>500</v>
      </c>
      <c r="F8" s="127" t="s">
        <v>297</v>
      </c>
      <c r="G8" s="127"/>
    </row>
    <row r="9" spans="1:14" x14ac:dyDescent="0.3">
      <c r="A9" s="142" t="s">
        <v>298</v>
      </c>
      <c r="B9" s="127">
        <v>2.6</v>
      </c>
      <c r="C9" s="127" t="s">
        <v>0</v>
      </c>
      <c r="D9" s="142" t="s">
        <v>299</v>
      </c>
      <c r="E9" s="127">
        <v>8</v>
      </c>
      <c r="F9" s="127" t="s">
        <v>1</v>
      </c>
      <c r="G9" s="127"/>
    </row>
    <row r="10" spans="1:14" x14ac:dyDescent="0.3">
      <c r="A10" s="142" t="s">
        <v>300</v>
      </c>
      <c r="B10" s="127">
        <v>200</v>
      </c>
      <c r="C10" s="127" t="s">
        <v>1</v>
      </c>
      <c r="D10" s="142" t="s">
        <v>301</v>
      </c>
      <c r="E10" s="127">
        <f>0.25*25*0.25</f>
        <v>1.5625</v>
      </c>
      <c r="F10" s="127" t="s">
        <v>288</v>
      </c>
      <c r="G10" s="127"/>
    </row>
    <row r="11" spans="1:14" x14ac:dyDescent="0.3">
      <c r="A11" s="127"/>
      <c r="B11" s="127"/>
      <c r="C11" s="127"/>
      <c r="D11" s="142" t="s">
        <v>302</v>
      </c>
      <c r="E11" s="127">
        <f>B9*19*0.2</f>
        <v>9.8800000000000008</v>
      </c>
      <c r="F11" s="127" t="s">
        <v>288</v>
      </c>
      <c r="G11" s="127"/>
    </row>
    <row r="13" spans="1:14" x14ac:dyDescent="0.3">
      <c r="A13" s="151" t="s">
        <v>303</v>
      </c>
      <c r="B13" s="151"/>
      <c r="C13" s="213" t="s">
        <v>304</v>
      </c>
      <c r="D13" s="213"/>
      <c r="E13" s="213"/>
      <c r="F13" s="213"/>
      <c r="G13" s="151" t="s">
        <v>305</v>
      </c>
      <c r="H13" s="151"/>
      <c r="I13" s="213" t="s">
        <v>306</v>
      </c>
      <c r="J13" s="213"/>
      <c r="K13" s="202" t="s">
        <v>307</v>
      </c>
      <c r="L13" s="202"/>
      <c r="M13" s="202"/>
      <c r="N13" s="202"/>
    </row>
    <row r="14" spans="1:14" x14ac:dyDescent="0.3">
      <c r="A14" s="151"/>
      <c r="B14" s="151" t="s">
        <v>308</v>
      </c>
      <c r="C14" s="151" t="s">
        <v>309</v>
      </c>
      <c r="D14" s="151" t="s">
        <v>310</v>
      </c>
      <c r="E14" s="151" t="s">
        <v>311</v>
      </c>
      <c r="F14" s="151" t="s">
        <v>312</v>
      </c>
      <c r="G14" s="151" t="s">
        <v>313</v>
      </c>
      <c r="H14" s="151"/>
      <c r="I14" s="151" t="s">
        <v>314</v>
      </c>
      <c r="J14" s="151" t="s">
        <v>315</v>
      </c>
    </row>
    <row r="15" spans="1:14" x14ac:dyDescent="0.3">
      <c r="A15" s="139" t="s">
        <v>316</v>
      </c>
      <c r="B15" s="139">
        <v>3.25</v>
      </c>
      <c r="C15" s="135">
        <f>$E$5*$B$15/3</f>
        <v>3.8241666666666667</v>
      </c>
      <c r="D15" s="135"/>
      <c r="E15" s="135">
        <f>$E$4*$B$15/3</f>
        <v>3.25</v>
      </c>
      <c r="F15" s="135"/>
      <c r="G15" s="135">
        <f t="shared" ref="G15:G21" si="0">$E$10+$E$11</f>
        <v>11.442500000000001</v>
      </c>
      <c r="H15" s="139"/>
      <c r="I15" s="135">
        <f>2*C15+G15</f>
        <v>19.090833333333336</v>
      </c>
      <c r="J15" s="139">
        <f>2*E15</f>
        <v>6.5</v>
      </c>
    </row>
    <row r="16" spans="1:14" x14ac:dyDescent="0.3">
      <c r="A16" s="139"/>
      <c r="B16" s="139">
        <v>3.25</v>
      </c>
      <c r="C16" s="135">
        <f>$E$5*$B$15/3</f>
        <v>3.8241666666666667</v>
      </c>
      <c r="D16" s="135"/>
      <c r="E16" s="135">
        <f>$E$4*$B$15/3</f>
        <v>3.25</v>
      </c>
      <c r="F16" s="135"/>
      <c r="G16" s="135">
        <f t="shared" si="0"/>
        <v>11.442500000000001</v>
      </c>
      <c r="H16" s="139"/>
      <c r="I16" s="135">
        <f>2*C16+G16</f>
        <v>19.090833333333336</v>
      </c>
      <c r="J16" s="139">
        <f>2*E16</f>
        <v>6.5</v>
      </c>
    </row>
    <row r="17" spans="1:13" x14ac:dyDescent="0.3">
      <c r="A17" s="139"/>
      <c r="B17" s="139">
        <v>3.25</v>
      </c>
      <c r="C17" s="135">
        <f>$E$5*$B$15/3</f>
        <v>3.8241666666666667</v>
      </c>
      <c r="D17" s="135"/>
      <c r="E17" s="135">
        <f>$E$4*$B$15/3</f>
        <v>3.25</v>
      </c>
      <c r="F17" s="135"/>
      <c r="G17" s="135">
        <f t="shared" si="0"/>
        <v>11.442500000000001</v>
      </c>
      <c r="H17" s="139"/>
      <c r="I17" s="135">
        <f>2*C17+G17</f>
        <v>19.090833333333336</v>
      </c>
      <c r="J17" s="139">
        <f>2*E17</f>
        <v>6.5</v>
      </c>
    </row>
    <row r="18" spans="1:13" x14ac:dyDescent="0.3">
      <c r="A18" s="139"/>
      <c r="B18" s="139">
        <v>4</v>
      </c>
      <c r="C18" s="135"/>
      <c r="D18" s="135">
        <f>(($E$5*$B$15)/6)*(3-($B$15/$B$18)^2)</f>
        <v>4.4739762369791665</v>
      </c>
      <c r="E18" s="135"/>
      <c r="F18" s="135">
        <f>(($E$4*$B$15)/6)*(3-($B$15/$B$18)^2)</f>
        <v>3.80224609375</v>
      </c>
      <c r="G18" s="135">
        <f t="shared" si="0"/>
        <v>11.442500000000001</v>
      </c>
      <c r="H18" s="139"/>
      <c r="I18" s="135">
        <f>2*D18+G18</f>
        <v>20.390452473958334</v>
      </c>
      <c r="J18" s="135">
        <f>2*F18</f>
        <v>7.6044921875</v>
      </c>
    </row>
    <row r="19" spans="1:13" x14ac:dyDescent="0.3">
      <c r="A19" s="139"/>
      <c r="B19" s="139">
        <v>4</v>
      </c>
      <c r="C19" s="135"/>
      <c r="D19" s="135">
        <f>(($E$5*$B$15)/6)*(3-($B$15/$B$18)^2)</f>
        <v>4.4739762369791665</v>
      </c>
      <c r="E19" s="135"/>
      <c r="F19" s="135">
        <f>(($E$4*$B$15)/6)*(3-($B$15/$B$18)^2)</f>
        <v>3.80224609375</v>
      </c>
      <c r="G19" s="135">
        <f t="shared" si="0"/>
        <v>11.442500000000001</v>
      </c>
      <c r="H19" s="139"/>
      <c r="I19" s="135">
        <f>2*D19+G19</f>
        <v>20.390452473958334</v>
      </c>
      <c r="J19" s="135">
        <f>2*F19</f>
        <v>7.6044921875</v>
      </c>
    </row>
    <row r="20" spans="1:13" x14ac:dyDescent="0.3">
      <c r="A20" s="139"/>
      <c r="B20" s="139">
        <v>4</v>
      </c>
      <c r="C20" s="135"/>
      <c r="D20" s="135">
        <f>(($E$5*$B$15)/6)*(3-($B$15/$B$18)^2)</f>
        <v>4.4739762369791665</v>
      </c>
      <c r="E20" s="135"/>
      <c r="F20" s="135">
        <f>(($E$4*$B$15)/6)*(3-($B$15/$B$18)^2)</f>
        <v>3.80224609375</v>
      </c>
      <c r="G20" s="135">
        <f t="shared" si="0"/>
        <v>11.442500000000001</v>
      </c>
      <c r="H20" s="139"/>
      <c r="I20" s="135">
        <f>2*D20+G20</f>
        <v>20.390452473958334</v>
      </c>
      <c r="J20" s="135">
        <f>2*F20</f>
        <v>7.6044921875</v>
      </c>
    </row>
    <row r="21" spans="1:13" x14ac:dyDescent="0.3">
      <c r="A21" s="139"/>
      <c r="B21" s="139">
        <v>4</v>
      </c>
      <c r="C21" s="135"/>
      <c r="D21" s="135">
        <f>(($E$5*$B$15)/6)*(3-($B$15/$B$18)^2)</f>
        <v>4.4739762369791665</v>
      </c>
      <c r="E21" s="135"/>
      <c r="F21" s="135">
        <f>(($E$4*$B$15)/6)*(3-($B$15/$B$18)^2)</f>
        <v>3.80224609375</v>
      </c>
      <c r="G21" s="135">
        <f t="shared" si="0"/>
        <v>11.442500000000001</v>
      </c>
      <c r="H21" s="139"/>
      <c r="I21" s="135">
        <f>2*D21+G21</f>
        <v>20.390452473958334</v>
      </c>
      <c r="J21" s="135">
        <f>2*F21</f>
        <v>7.6044921875</v>
      </c>
    </row>
    <row r="23" spans="1:13" x14ac:dyDescent="0.3">
      <c r="A23" s="159" t="s">
        <v>317</v>
      </c>
      <c r="B23" s="202" t="s">
        <v>318</v>
      </c>
      <c r="C23" s="202"/>
      <c r="L23" s="160" t="s">
        <v>319</v>
      </c>
    </row>
    <row r="24" spans="1:13" x14ac:dyDescent="0.3">
      <c r="A24" s="152"/>
      <c r="B24" s="152" t="s">
        <v>320</v>
      </c>
      <c r="C24" s="152" t="s">
        <v>321</v>
      </c>
      <c r="D24" s="173" t="s">
        <v>368</v>
      </c>
      <c r="E24" s="173" t="s">
        <v>369</v>
      </c>
      <c r="F24" s="173" t="s">
        <v>370</v>
      </c>
      <c r="G24" s="152" t="s">
        <v>323</v>
      </c>
      <c r="H24" s="152" t="s">
        <v>324</v>
      </c>
      <c r="I24" s="152" t="s">
        <v>179</v>
      </c>
      <c r="J24" s="173" t="s">
        <v>179</v>
      </c>
      <c r="K24" s="152" t="s">
        <v>325</v>
      </c>
      <c r="L24" s="152" t="s">
        <v>324</v>
      </c>
      <c r="M24" s="152" t="s">
        <v>179</v>
      </c>
    </row>
    <row r="25" spans="1:13" x14ac:dyDescent="0.3">
      <c r="A25" s="211" t="s">
        <v>326</v>
      </c>
      <c r="B25" s="140">
        <v>3.25</v>
      </c>
      <c r="C25" s="141">
        <f t="shared" ref="C25:C31" si="1">I15</f>
        <v>19.090833333333336</v>
      </c>
      <c r="D25" s="141">
        <f>1/10</f>
        <v>0.1</v>
      </c>
      <c r="E25" s="141"/>
      <c r="F25" s="141">
        <v>8.3333333333333329E-2</v>
      </c>
      <c r="G25" s="141">
        <f t="shared" ref="G25:G31" si="2">C25*D25*B25^2</f>
        <v>20.164692708333337</v>
      </c>
      <c r="H25" s="141">
        <f t="shared" ref="H25:H31" si="3">C25*E25*B25^2</f>
        <v>0</v>
      </c>
      <c r="I25" s="141">
        <f t="shared" ref="I25:I31" si="4">C25*F25*B25^2</f>
        <v>16.803910590277781</v>
      </c>
      <c r="J25" s="140">
        <v>3.25</v>
      </c>
      <c r="K25" s="141">
        <f t="shared" ref="K25:M31" si="5">1.5*(G25+G34)</f>
        <v>41.689747395833336</v>
      </c>
      <c r="L25" s="141">
        <f t="shared" si="5"/>
        <v>0</v>
      </c>
      <c r="M25" s="141">
        <f t="shared" si="5"/>
        <v>35.504303385416677</v>
      </c>
    </row>
    <row r="26" spans="1:13" x14ac:dyDescent="0.3">
      <c r="A26" s="211"/>
      <c r="B26" s="140">
        <v>3.25</v>
      </c>
      <c r="C26" s="141">
        <f t="shared" si="1"/>
        <v>19.090833333333336</v>
      </c>
      <c r="D26" s="141">
        <f t="shared" ref="D26:D31" si="6">1/10</f>
        <v>0.1</v>
      </c>
      <c r="E26" s="141"/>
      <c r="F26" s="141">
        <v>6.25E-2</v>
      </c>
      <c r="G26" s="141">
        <f t="shared" si="2"/>
        <v>20.164692708333337</v>
      </c>
      <c r="H26" s="141">
        <f t="shared" si="3"/>
        <v>0</v>
      </c>
      <c r="I26" s="141">
        <f t="shared" si="4"/>
        <v>12.602932942708335</v>
      </c>
      <c r="J26" s="140">
        <v>3.25</v>
      </c>
      <c r="K26" s="141">
        <f t="shared" si="5"/>
        <v>41.689747395833336</v>
      </c>
      <c r="L26" s="141">
        <f t="shared" si="5"/>
        <v>0</v>
      </c>
      <c r="M26" s="141">
        <f t="shared" si="5"/>
        <v>27.4864306640625</v>
      </c>
    </row>
    <row r="27" spans="1:13" x14ac:dyDescent="0.3">
      <c r="A27" s="211"/>
      <c r="B27" s="140">
        <v>3.25</v>
      </c>
      <c r="C27" s="141">
        <f t="shared" si="1"/>
        <v>19.090833333333336</v>
      </c>
      <c r="D27" s="141">
        <f t="shared" si="6"/>
        <v>0.1</v>
      </c>
      <c r="E27" s="141"/>
      <c r="F27" s="141">
        <v>8.3333333333333329E-2</v>
      </c>
      <c r="G27" s="141">
        <f t="shared" si="2"/>
        <v>20.164692708333337</v>
      </c>
      <c r="H27" s="141">
        <f t="shared" si="3"/>
        <v>0</v>
      </c>
      <c r="I27" s="141">
        <f t="shared" si="4"/>
        <v>16.803910590277781</v>
      </c>
      <c r="J27" s="140">
        <v>3.25</v>
      </c>
      <c r="K27" s="141">
        <f t="shared" si="5"/>
        <v>41.689747395833336</v>
      </c>
      <c r="L27" s="141">
        <f t="shared" si="5"/>
        <v>0</v>
      </c>
      <c r="M27" s="141">
        <f t="shared" si="5"/>
        <v>35.504303385416677</v>
      </c>
    </row>
    <row r="28" spans="1:13" ht="21" customHeight="1" x14ac:dyDescent="0.3">
      <c r="A28" s="211" t="s">
        <v>327</v>
      </c>
      <c r="B28" s="140">
        <v>4</v>
      </c>
      <c r="C28" s="141">
        <f t="shared" si="1"/>
        <v>20.390452473958334</v>
      </c>
      <c r="D28" s="141">
        <f t="shared" si="6"/>
        <v>0.1</v>
      </c>
      <c r="E28" s="141"/>
      <c r="F28" s="141">
        <v>8.3333333333333329E-2</v>
      </c>
      <c r="G28" s="141">
        <f t="shared" si="2"/>
        <v>32.624723958333334</v>
      </c>
      <c r="H28" s="141">
        <f t="shared" si="3"/>
        <v>0</v>
      </c>
      <c r="I28" s="141">
        <f t="shared" si="4"/>
        <v>27.187269965277778</v>
      </c>
      <c r="J28" s="140">
        <v>4</v>
      </c>
      <c r="K28" s="141">
        <f t="shared" si="5"/>
        <v>69.21573177083333</v>
      </c>
      <c r="L28" s="141">
        <f t="shared" si="5"/>
        <v>0</v>
      </c>
      <c r="M28" s="141">
        <f t="shared" si="5"/>
        <v>59.031686197916663</v>
      </c>
    </row>
    <row r="29" spans="1:13" x14ac:dyDescent="0.3">
      <c r="A29" s="211"/>
      <c r="B29" s="140">
        <v>4</v>
      </c>
      <c r="C29" s="141">
        <f t="shared" si="1"/>
        <v>20.390452473958334</v>
      </c>
      <c r="D29" s="141">
        <f t="shared" si="6"/>
        <v>0.1</v>
      </c>
      <c r="E29" s="141">
        <v>8.3333333333333329E-2</v>
      </c>
      <c r="F29" s="141">
        <v>6.25E-2</v>
      </c>
      <c r="G29" s="141">
        <f t="shared" si="2"/>
        <v>32.624723958333334</v>
      </c>
      <c r="H29" s="141">
        <f t="shared" si="3"/>
        <v>27.187269965277778</v>
      </c>
      <c r="I29" s="141">
        <f t="shared" si="4"/>
        <v>20.390452473958334</v>
      </c>
      <c r="J29" s="140">
        <v>4</v>
      </c>
      <c r="K29" s="141">
        <f t="shared" si="5"/>
        <v>69.21573177083333</v>
      </c>
      <c r="L29" s="141">
        <f t="shared" si="5"/>
        <v>61.059550781249996</v>
      </c>
      <c r="M29" s="141">
        <f t="shared" si="5"/>
        <v>45.794663085937501</v>
      </c>
    </row>
    <row r="30" spans="1:13" x14ac:dyDescent="0.3">
      <c r="A30" s="211"/>
      <c r="B30" s="140">
        <v>4</v>
      </c>
      <c r="C30" s="141">
        <f t="shared" si="1"/>
        <v>20.390452473958334</v>
      </c>
      <c r="D30" s="141">
        <f t="shared" si="6"/>
        <v>0.1</v>
      </c>
      <c r="E30" s="141">
        <v>8.3333333333333329E-2</v>
      </c>
      <c r="F30" s="141">
        <v>6.25E-2</v>
      </c>
      <c r="G30" s="141">
        <f t="shared" si="2"/>
        <v>32.624723958333334</v>
      </c>
      <c r="H30" s="141">
        <f t="shared" si="3"/>
        <v>27.187269965277778</v>
      </c>
      <c r="I30" s="141">
        <f t="shared" si="4"/>
        <v>20.390452473958334</v>
      </c>
      <c r="J30" s="140">
        <v>4</v>
      </c>
      <c r="K30" s="141">
        <f t="shared" si="5"/>
        <v>69.21573177083333</v>
      </c>
      <c r="L30" s="141">
        <f t="shared" si="5"/>
        <v>61.059550781249996</v>
      </c>
      <c r="M30" s="141">
        <f t="shared" si="5"/>
        <v>45.794663085937501</v>
      </c>
    </row>
    <row r="31" spans="1:13" x14ac:dyDescent="0.3">
      <c r="A31" s="211"/>
      <c r="B31" s="140">
        <v>4</v>
      </c>
      <c r="C31" s="141">
        <f t="shared" si="1"/>
        <v>20.390452473958334</v>
      </c>
      <c r="D31" s="141">
        <f t="shared" si="6"/>
        <v>0.1</v>
      </c>
      <c r="E31" s="141"/>
      <c r="F31" s="141">
        <v>8.3333333333333329E-2</v>
      </c>
      <c r="G31" s="141">
        <f t="shared" si="2"/>
        <v>32.624723958333334</v>
      </c>
      <c r="H31" s="141">
        <f t="shared" si="3"/>
        <v>0</v>
      </c>
      <c r="I31" s="141">
        <f t="shared" si="4"/>
        <v>27.187269965277778</v>
      </c>
      <c r="J31" s="140">
        <v>4</v>
      </c>
      <c r="K31" s="141">
        <f t="shared" si="5"/>
        <v>69.21573177083333</v>
      </c>
      <c r="L31" s="141">
        <f t="shared" si="5"/>
        <v>0</v>
      </c>
      <c r="M31" s="141">
        <f t="shared" si="5"/>
        <v>59.031686197916663</v>
      </c>
    </row>
    <row r="33" spans="1:15" x14ac:dyDescent="0.3">
      <c r="A33" s="142"/>
      <c r="B33" s="142" t="s">
        <v>328</v>
      </c>
      <c r="C33" s="142" t="s">
        <v>321</v>
      </c>
      <c r="D33" s="156" t="s">
        <v>368</v>
      </c>
      <c r="E33" s="156" t="s">
        <v>369</v>
      </c>
      <c r="F33" s="156" t="s">
        <v>370</v>
      </c>
      <c r="G33" s="142" t="s">
        <v>323</v>
      </c>
      <c r="H33" s="142" t="s">
        <v>324</v>
      </c>
      <c r="I33" s="142" t="s">
        <v>179</v>
      </c>
    </row>
    <row r="34" spans="1:15" x14ac:dyDescent="0.3">
      <c r="A34" s="212" t="s">
        <v>326</v>
      </c>
      <c r="B34" s="153">
        <v>3.25</v>
      </c>
      <c r="C34" s="154">
        <f t="shared" ref="C34:C40" si="7">J15</f>
        <v>6.5</v>
      </c>
      <c r="D34" s="154">
        <f>1/9</f>
        <v>0.1111111111111111</v>
      </c>
      <c r="E34" s="154"/>
      <c r="F34" s="154">
        <v>0.1</v>
      </c>
      <c r="G34" s="154">
        <f t="shared" ref="G34:G40" si="8">C34*D34*B34^2</f>
        <v>7.6284722222222223</v>
      </c>
      <c r="H34" s="154">
        <f t="shared" ref="H34:H40" si="9">C34*E34*B34^2</f>
        <v>0</v>
      </c>
      <c r="I34" s="154">
        <f t="shared" ref="I34:I40" si="10">C34*F34*B34^2</f>
        <v>6.8656250000000005</v>
      </c>
    </row>
    <row r="35" spans="1:15" x14ac:dyDescent="0.3">
      <c r="A35" s="212"/>
      <c r="B35" s="153">
        <v>3.25</v>
      </c>
      <c r="C35" s="154">
        <f t="shared" si="7"/>
        <v>6.5</v>
      </c>
      <c r="D35" s="154">
        <f t="shared" ref="D35:D40" si="11">1/9</f>
        <v>0.1111111111111111</v>
      </c>
      <c r="E35" s="154"/>
      <c r="F35" s="154">
        <v>8.3333333333333329E-2</v>
      </c>
      <c r="G35" s="154">
        <f t="shared" si="8"/>
        <v>7.6284722222222223</v>
      </c>
      <c r="H35" s="154">
        <f t="shared" si="9"/>
        <v>0</v>
      </c>
      <c r="I35" s="154">
        <f t="shared" si="10"/>
        <v>5.7213541666666661</v>
      </c>
    </row>
    <row r="36" spans="1:15" x14ac:dyDescent="0.3">
      <c r="A36" s="212"/>
      <c r="B36" s="153">
        <v>3.25</v>
      </c>
      <c r="C36" s="154">
        <f t="shared" si="7"/>
        <v>6.5</v>
      </c>
      <c r="D36" s="154">
        <f t="shared" si="11"/>
        <v>0.1111111111111111</v>
      </c>
      <c r="E36" s="154"/>
      <c r="F36" s="154">
        <v>0.1</v>
      </c>
      <c r="G36" s="154">
        <f t="shared" si="8"/>
        <v>7.6284722222222223</v>
      </c>
      <c r="H36" s="154">
        <f t="shared" si="9"/>
        <v>0</v>
      </c>
      <c r="I36" s="154">
        <f t="shared" si="10"/>
        <v>6.8656250000000005</v>
      </c>
    </row>
    <row r="37" spans="1:15" x14ac:dyDescent="0.3">
      <c r="A37" s="212" t="s">
        <v>327</v>
      </c>
      <c r="B37" s="153">
        <v>4</v>
      </c>
      <c r="C37" s="154">
        <f t="shared" si="7"/>
        <v>7.6044921875</v>
      </c>
      <c r="D37" s="154">
        <f t="shared" si="11"/>
        <v>0.1111111111111111</v>
      </c>
      <c r="E37" s="154"/>
      <c r="F37" s="154">
        <v>0.1</v>
      </c>
      <c r="G37" s="154">
        <f t="shared" si="8"/>
        <v>13.519097222222221</v>
      </c>
      <c r="H37" s="154">
        <f t="shared" si="9"/>
        <v>0</v>
      </c>
      <c r="I37" s="154">
        <f t="shared" si="10"/>
        <v>12.167187500000001</v>
      </c>
    </row>
    <row r="38" spans="1:15" x14ac:dyDescent="0.3">
      <c r="A38" s="212"/>
      <c r="B38" s="153">
        <v>4</v>
      </c>
      <c r="C38" s="154">
        <f t="shared" si="7"/>
        <v>7.6044921875</v>
      </c>
      <c r="D38" s="154">
        <f t="shared" si="11"/>
        <v>0.1111111111111111</v>
      </c>
      <c r="E38" s="154">
        <v>0.1111111111111111</v>
      </c>
      <c r="F38" s="154">
        <v>8.3333333333333329E-2</v>
      </c>
      <c r="G38" s="154">
        <f t="shared" si="8"/>
        <v>13.519097222222221</v>
      </c>
      <c r="H38" s="154">
        <f t="shared" si="9"/>
        <v>13.519097222222221</v>
      </c>
      <c r="I38" s="154">
        <f t="shared" si="10"/>
        <v>10.139322916666666</v>
      </c>
    </row>
    <row r="39" spans="1:15" x14ac:dyDescent="0.3">
      <c r="A39" s="212"/>
      <c r="B39" s="153">
        <v>4</v>
      </c>
      <c r="C39" s="154">
        <f t="shared" si="7"/>
        <v>7.6044921875</v>
      </c>
      <c r="D39" s="154">
        <f t="shared" si="11"/>
        <v>0.1111111111111111</v>
      </c>
      <c r="E39" s="154">
        <v>0.1111111111111111</v>
      </c>
      <c r="F39" s="154">
        <v>8.3333333333333329E-2</v>
      </c>
      <c r="G39" s="154">
        <f t="shared" si="8"/>
        <v>13.519097222222221</v>
      </c>
      <c r="H39" s="154">
        <f t="shared" si="9"/>
        <v>13.519097222222221</v>
      </c>
      <c r="I39" s="154">
        <f t="shared" si="10"/>
        <v>10.139322916666666</v>
      </c>
    </row>
    <row r="40" spans="1:15" x14ac:dyDescent="0.3">
      <c r="A40" s="212"/>
      <c r="B40" s="153">
        <v>4</v>
      </c>
      <c r="C40" s="154">
        <f t="shared" si="7"/>
        <v>7.6044921875</v>
      </c>
      <c r="D40" s="154">
        <f t="shared" si="11"/>
        <v>0.1111111111111111</v>
      </c>
      <c r="E40" s="154"/>
      <c r="F40" s="154">
        <v>0.1</v>
      </c>
      <c r="G40" s="154">
        <f t="shared" si="8"/>
        <v>13.519097222222221</v>
      </c>
      <c r="H40" s="154">
        <f t="shared" si="9"/>
        <v>0</v>
      </c>
      <c r="I40" s="154">
        <f t="shared" si="10"/>
        <v>12.167187500000001</v>
      </c>
    </row>
    <row r="42" spans="1:15" x14ac:dyDescent="0.3">
      <c r="A42" s="160" t="s">
        <v>329</v>
      </c>
      <c r="B42" s="160" t="s">
        <v>330</v>
      </c>
      <c r="L42" s="202" t="s">
        <v>331</v>
      </c>
      <c r="M42" s="202"/>
      <c r="N42" s="202"/>
    </row>
    <row r="43" spans="1:15" x14ac:dyDescent="0.3">
      <c r="A43" s="148"/>
      <c r="B43" s="148" t="s">
        <v>320</v>
      </c>
      <c r="C43" s="148" t="s">
        <v>321</v>
      </c>
      <c r="D43" s="148" t="s">
        <v>365</v>
      </c>
      <c r="E43" s="148" t="s">
        <v>366</v>
      </c>
      <c r="F43" s="148" t="s">
        <v>367</v>
      </c>
      <c r="G43" s="148"/>
      <c r="H43" s="148" t="s">
        <v>334</v>
      </c>
      <c r="I43" s="148" t="s">
        <v>324</v>
      </c>
      <c r="J43" s="148" t="s">
        <v>335</v>
      </c>
      <c r="K43" s="148"/>
      <c r="L43" s="148"/>
      <c r="M43" s="148" t="s">
        <v>334</v>
      </c>
      <c r="N43" s="148" t="s">
        <v>324</v>
      </c>
      <c r="O43" s="148" t="s">
        <v>335</v>
      </c>
    </row>
    <row r="44" spans="1:15" x14ac:dyDescent="0.3">
      <c r="A44" s="209" t="s">
        <v>326</v>
      </c>
      <c r="B44" s="149">
        <v>3.25</v>
      </c>
      <c r="C44" s="150">
        <f t="shared" ref="C44:C50" si="12">I15</f>
        <v>19.090833333333336</v>
      </c>
      <c r="D44" s="150">
        <v>0.4</v>
      </c>
      <c r="E44" s="150"/>
      <c r="F44" s="150">
        <v>0.6</v>
      </c>
      <c r="G44" s="149"/>
      <c r="H44" s="150">
        <f>C44*D44*B44</f>
        <v>24.818083333333337</v>
      </c>
      <c r="I44" s="150">
        <f>C44*E44*B44</f>
        <v>0</v>
      </c>
      <c r="J44" s="150">
        <f>C44*F44*B44</f>
        <v>37.227125000000001</v>
      </c>
      <c r="K44" s="149" t="s">
        <v>179</v>
      </c>
      <c r="L44" s="149">
        <v>3.25</v>
      </c>
      <c r="M44" s="150">
        <f t="shared" ref="M44:O50" si="13">1.5*(H44+H53)</f>
        <v>51.486500000000014</v>
      </c>
      <c r="N44" s="150">
        <f t="shared" si="13"/>
        <v>0</v>
      </c>
      <c r="O44" s="150">
        <f t="shared" si="13"/>
        <v>74.85318749999999</v>
      </c>
    </row>
    <row r="45" spans="1:15" x14ac:dyDescent="0.3">
      <c r="A45" s="209"/>
      <c r="B45" s="149">
        <v>3.25</v>
      </c>
      <c r="C45" s="150">
        <f t="shared" si="12"/>
        <v>19.090833333333336</v>
      </c>
      <c r="D45" s="150"/>
      <c r="E45" s="150"/>
      <c r="F45" s="150">
        <v>0.55000000000000004</v>
      </c>
      <c r="G45" s="149"/>
      <c r="H45" s="150">
        <f t="shared" ref="H45:H50" si="14">C45*D45*B45</f>
        <v>0</v>
      </c>
      <c r="I45" s="150">
        <f t="shared" ref="I45:I50" si="15">C45*E45*B45</f>
        <v>0</v>
      </c>
      <c r="J45" s="150">
        <f t="shared" ref="J45:J50" si="16">C45*F45*B45</f>
        <v>34.124864583333341</v>
      </c>
      <c r="K45" s="149"/>
      <c r="L45" s="149">
        <v>3.25</v>
      </c>
      <c r="M45" s="150">
        <f t="shared" si="13"/>
        <v>0</v>
      </c>
      <c r="N45" s="150">
        <f t="shared" si="13"/>
        <v>0</v>
      </c>
      <c r="O45" s="150">
        <f t="shared" si="13"/>
        <v>70.199796875000004</v>
      </c>
    </row>
    <row r="46" spans="1:15" x14ac:dyDescent="0.3">
      <c r="A46" s="209"/>
      <c r="B46" s="149">
        <v>3.25</v>
      </c>
      <c r="C46" s="150">
        <f t="shared" si="12"/>
        <v>19.090833333333336</v>
      </c>
      <c r="D46" s="150">
        <v>0.4</v>
      </c>
      <c r="E46" s="150"/>
      <c r="F46" s="150">
        <v>0.6</v>
      </c>
      <c r="G46" s="149"/>
      <c r="H46" s="150">
        <f t="shared" si="14"/>
        <v>24.818083333333337</v>
      </c>
      <c r="I46" s="150">
        <f t="shared" si="15"/>
        <v>0</v>
      </c>
      <c r="J46" s="150">
        <f t="shared" si="16"/>
        <v>37.227125000000001</v>
      </c>
      <c r="K46" s="149"/>
      <c r="L46" s="149">
        <v>3.25</v>
      </c>
      <c r="M46" s="150">
        <f t="shared" si="13"/>
        <v>51.486500000000014</v>
      </c>
      <c r="N46" s="150">
        <f t="shared" si="13"/>
        <v>0</v>
      </c>
      <c r="O46" s="150">
        <f t="shared" si="13"/>
        <v>74.85318749999999</v>
      </c>
    </row>
    <row r="47" spans="1:15" x14ac:dyDescent="0.3">
      <c r="A47" s="209" t="s">
        <v>327</v>
      </c>
      <c r="B47" s="149">
        <v>4</v>
      </c>
      <c r="C47" s="150">
        <f t="shared" si="12"/>
        <v>20.390452473958334</v>
      </c>
      <c r="D47" s="150">
        <v>0.4</v>
      </c>
      <c r="E47" s="150"/>
      <c r="F47" s="150">
        <v>0.6</v>
      </c>
      <c r="G47" s="149"/>
      <c r="H47" s="150">
        <f t="shared" si="14"/>
        <v>32.624723958333334</v>
      </c>
      <c r="I47" s="150">
        <f t="shared" si="15"/>
        <v>0</v>
      </c>
      <c r="J47" s="150">
        <f t="shared" si="16"/>
        <v>48.937085937500001</v>
      </c>
      <c r="K47" s="149"/>
      <c r="L47" s="149">
        <v>4</v>
      </c>
      <c r="M47" s="150">
        <f t="shared" si="13"/>
        <v>69.469214843749995</v>
      </c>
      <c r="N47" s="150">
        <f t="shared" si="13"/>
        <v>0</v>
      </c>
      <c r="O47" s="150">
        <f t="shared" si="13"/>
        <v>100.78180078125001</v>
      </c>
    </row>
    <row r="48" spans="1:15" x14ac:dyDescent="0.3">
      <c r="A48" s="209"/>
      <c r="B48" s="149">
        <v>4</v>
      </c>
      <c r="C48" s="150">
        <f t="shared" si="12"/>
        <v>20.390452473958334</v>
      </c>
      <c r="D48" s="150"/>
      <c r="E48" s="150">
        <v>0.5</v>
      </c>
      <c r="F48" s="150">
        <v>0.55000000000000004</v>
      </c>
      <c r="G48" s="149"/>
      <c r="H48" s="150">
        <f t="shared" si="14"/>
        <v>0</v>
      </c>
      <c r="I48" s="150">
        <f t="shared" si="15"/>
        <v>40.780904947916667</v>
      </c>
      <c r="J48" s="150">
        <f t="shared" si="16"/>
        <v>44.858995442708341</v>
      </c>
      <c r="K48" s="149"/>
      <c r="L48" s="149">
        <v>4</v>
      </c>
      <c r="M48" s="150">
        <f t="shared" si="13"/>
        <v>0</v>
      </c>
      <c r="N48" s="150">
        <f t="shared" si="13"/>
        <v>88.547529296875013</v>
      </c>
      <c r="O48" s="150">
        <f t="shared" si="13"/>
        <v>94.664665039062498</v>
      </c>
    </row>
    <row r="49" spans="1:15" x14ac:dyDescent="0.3">
      <c r="A49" s="209"/>
      <c r="B49" s="149">
        <v>4</v>
      </c>
      <c r="C49" s="150">
        <f t="shared" si="12"/>
        <v>20.390452473958334</v>
      </c>
      <c r="D49" s="150"/>
      <c r="E49" s="150">
        <v>0.5</v>
      </c>
      <c r="F49" s="150">
        <v>0.55000000000000004</v>
      </c>
      <c r="G49" s="149"/>
      <c r="H49" s="150">
        <f t="shared" si="14"/>
        <v>0</v>
      </c>
      <c r="I49" s="150">
        <f t="shared" si="15"/>
        <v>40.780904947916667</v>
      </c>
      <c r="J49" s="150">
        <f t="shared" si="16"/>
        <v>44.858995442708341</v>
      </c>
      <c r="K49" s="149"/>
      <c r="L49" s="149">
        <v>4</v>
      </c>
      <c r="M49" s="150">
        <f t="shared" si="13"/>
        <v>0</v>
      </c>
      <c r="N49" s="150">
        <f t="shared" si="13"/>
        <v>88.547529296875013</v>
      </c>
      <c r="O49" s="150">
        <f t="shared" si="13"/>
        <v>94.664665039062498</v>
      </c>
    </row>
    <row r="50" spans="1:15" x14ac:dyDescent="0.3">
      <c r="A50" s="209"/>
      <c r="B50" s="149">
        <v>4</v>
      </c>
      <c r="C50" s="150">
        <f t="shared" si="12"/>
        <v>20.390452473958334</v>
      </c>
      <c r="D50" s="150">
        <v>0.4</v>
      </c>
      <c r="E50" s="150"/>
      <c r="F50" s="150">
        <v>0.6</v>
      </c>
      <c r="G50" s="149"/>
      <c r="H50" s="150">
        <f t="shared" si="14"/>
        <v>32.624723958333334</v>
      </c>
      <c r="I50" s="150">
        <f t="shared" si="15"/>
        <v>0</v>
      </c>
      <c r="J50" s="150">
        <f t="shared" si="16"/>
        <v>48.937085937500001</v>
      </c>
      <c r="K50" s="149"/>
      <c r="L50" s="149">
        <v>4</v>
      </c>
      <c r="M50" s="150">
        <f t="shared" si="13"/>
        <v>69.469214843749995</v>
      </c>
      <c r="N50" s="150">
        <f t="shared" si="13"/>
        <v>0</v>
      </c>
      <c r="O50" s="150">
        <f t="shared" si="13"/>
        <v>100.78180078125001</v>
      </c>
    </row>
    <row r="52" spans="1:15" x14ac:dyDescent="0.3">
      <c r="A52" s="147"/>
      <c r="B52" s="147" t="s">
        <v>328</v>
      </c>
      <c r="C52" s="147" t="s">
        <v>321</v>
      </c>
      <c r="D52" s="147" t="s">
        <v>332</v>
      </c>
      <c r="E52" s="147" t="s">
        <v>322</v>
      </c>
      <c r="F52" s="147" t="s">
        <v>333</v>
      </c>
      <c r="G52" s="147"/>
      <c r="H52" s="147" t="s">
        <v>334</v>
      </c>
      <c r="I52" s="147" t="s">
        <v>324</v>
      </c>
      <c r="J52" s="147" t="s">
        <v>335</v>
      </c>
    </row>
    <row r="53" spans="1:15" x14ac:dyDescent="0.3">
      <c r="A53" s="210" t="s">
        <v>326</v>
      </c>
      <c r="B53" s="139">
        <v>3.25</v>
      </c>
      <c r="C53" s="135">
        <f t="shared" ref="C53:C59" si="17">J15</f>
        <v>6.5</v>
      </c>
      <c r="D53" s="135">
        <v>0.45</v>
      </c>
      <c r="E53" s="135"/>
      <c r="F53" s="135">
        <v>0.6</v>
      </c>
      <c r="G53" s="139"/>
      <c r="H53" s="135">
        <f>C53*D53*B53</f>
        <v>9.5062500000000014</v>
      </c>
      <c r="I53" s="135">
        <f>C53*E53*B53</f>
        <v>0</v>
      </c>
      <c r="J53" s="135">
        <f>C53*F53*B53</f>
        <v>12.674999999999999</v>
      </c>
    </row>
    <row r="54" spans="1:15" ht="16.8" customHeight="1" x14ac:dyDescent="0.3">
      <c r="A54" s="210"/>
      <c r="B54" s="139">
        <v>3.25</v>
      </c>
      <c r="C54" s="135">
        <f t="shared" si="17"/>
        <v>6.5</v>
      </c>
      <c r="D54" s="135"/>
      <c r="E54" s="135"/>
      <c r="F54" s="135">
        <v>0.6</v>
      </c>
      <c r="G54" s="139"/>
      <c r="H54" s="135">
        <f t="shared" ref="H54:H59" si="18">C54*D54*B54</f>
        <v>0</v>
      </c>
      <c r="I54" s="135">
        <f t="shared" ref="I54:I59" si="19">C54*E54*B54</f>
        <v>0</v>
      </c>
      <c r="J54" s="135">
        <f t="shared" ref="J54:J59" si="20">C54*F54*B54</f>
        <v>12.674999999999999</v>
      </c>
    </row>
    <row r="55" spans="1:15" x14ac:dyDescent="0.3">
      <c r="A55" s="210"/>
      <c r="B55" s="139">
        <v>3.25</v>
      </c>
      <c r="C55" s="135">
        <f t="shared" si="17"/>
        <v>6.5</v>
      </c>
      <c r="D55" s="135">
        <v>0.45</v>
      </c>
      <c r="E55" s="135"/>
      <c r="F55" s="135">
        <v>0.6</v>
      </c>
      <c r="G55" s="139"/>
      <c r="H55" s="135">
        <f t="shared" si="18"/>
        <v>9.5062500000000014</v>
      </c>
      <c r="I55" s="135">
        <f t="shared" si="19"/>
        <v>0</v>
      </c>
      <c r="J55" s="135">
        <f t="shared" si="20"/>
        <v>12.674999999999999</v>
      </c>
    </row>
    <row r="56" spans="1:15" x14ac:dyDescent="0.3">
      <c r="A56" s="210" t="s">
        <v>327</v>
      </c>
      <c r="B56" s="139">
        <v>4</v>
      </c>
      <c r="C56" s="135">
        <f t="shared" si="17"/>
        <v>7.6044921875</v>
      </c>
      <c r="D56" s="135">
        <v>0.45</v>
      </c>
      <c r="E56" s="135"/>
      <c r="F56" s="135">
        <v>0.6</v>
      </c>
      <c r="G56" s="139"/>
      <c r="H56" s="135">
        <f t="shared" si="18"/>
        <v>13.6880859375</v>
      </c>
      <c r="I56" s="135">
        <f t="shared" si="19"/>
        <v>0</v>
      </c>
      <c r="J56" s="135">
        <f t="shared" si="20"/>
        <v>18.250781249999999</v>
      </c>
    </row>
    <row r="57" spans="1:15" x14ac:dyDescent="0.3">
      <c r="A57" s="210"/>
      <c r="B57" s="139">
        <v>4</v>
      </c>
      <c r="C57" s="135">
        <f t="shared" si="17"/>
        <v>7.6044921875</v>
      </c>
      <c r="D57" s="135"/>
      <c r="E57" s="135">
        <v>0.6</v>
      </c>
      <c r="F57" s="135">
        <v>0.6</v>
      </c>
      <c r="G57" s="139"/>
      <c r="H57" s="135">
        <f t="shared" si="18"/>
        <v>0</v>
      </c>
      <c r="I57" s="135">
        <f t="shared" si="19"/>
        <v>18.250781249999999</v>
      </c>
      <c r="J57" s="135">
        <f t="shared" si="20"/>
        <v>18.250781249999999</v>
      </c>
    </row>
    <row r="58" spans="1:15" x14ac:dyDescent="0.3">
      <c r="A58" s="210"/>
      <c r="B58" s="139">
        <v>4</v>
      </c>
      <c r="C58" s="135">
        <f t="shared" si="17"/>
        <v>7.6044921875</v>
      </c>
      <c r="D58" s="135"/>
      <c r="E58" s="135">
        <v>0.6</v>
      </c>
      <c r="F58" s="135">
        <v>0.6</v>
      </c>
      <c r="G58" s="139"/>
      <c r="H58" s="135">
        <f t="shared" si="18"/>
        <v>0</v>
      </c>
      <c r="I58" s="135">
        <f t="shared" si="19"/>
        <v>18.250781249999999</v>
      </c>
      <c r="J58" s="135">
        <f t="shared" si="20"/>
        <v>18.250781249999999</v>
      </c>
    </row>
    <row r="59" spans="1:15" x14ac:dyDescent="0.3">
      <c r="A59" s="210"/>
      <c r="B59" s="139">
        <v>4</v>
      </c>
      <c r="C59" s="135">
        <f t="shared" si="17"/>
        <v>7.6044921875</v>
      </c>
      <c r="D59" s="135">
        <v>0.45</v>
      </c>
      <c r="E59" s="135"/>
      <c r="F59" s="135">
        <v>0.6</v>
      </c>
      <c r="G59" s="139"/>
      <c r="H59" s="135">
        <f t="shared" si="18"/>
        <v>13.6880859375</v>
      </c>
      <c r="I59" s="135">
        <f t="shared" si="19"/>
        <v>0</v>
      </c>
      <c r="J59" s="135">
        <f t="shared" si="20"/>
        <v>18.250781249999999</v>
      </c>
    </row>
    <row r="61" spans="1:15" x14ac:dyDescent="0.3">
      <c r="A61" s="160" t="s">
        <v>336</v>
      </c>
      <c r="B61" s="202" t="s">
        <v>337</v>
      </c>
      <c r="C61" s="202"/>
    </row>
    <row r="62" spans="1:15" x14ac:dyDescent="0.3">
      <c r="A62" s="160" t="s">
        <v>338</v>
      </c>
      <c r="B62" s="161">
        <f>MAX(K25:M31)</f>
        <v>69.21573177083333</v>
      </c>
      <c r="C62" s="160" t="s">
        <v>339</v>
      </c>
      <c r="E62" s="160" t="s">
        <v>340</v>
      </c>
      <c r="F62" s="161">
        <f>(0.5*E7*1000*B64)/E8</f>
        <v>6250</v>
      </c>
    </row>
    <row r="63" spans="1:15" x14ac:dyDescent="0.3">
      <c r="A63" s="160" t="s">
        <v>341</v>
      </c>
      <c r="B63" s="160">
        <f>SQRT((B62*10^6)/(0.138*1000*E7))</f>
        <v>141.64226398948736</v>
      </c>
      <c r="C63" s="160" t="s">
        <v>1</v>
      </c>
      <c r="E63" s="160" t="s">
        <v>342</v>
      </c>
      <c r="F63" s="160">
        <f>E7*1000*B64*B64</f>
        <v>1562500000</v>
      </c>
    </row>
    <row r="64" spans="1:15" x14ac:dyDescent="0.3">
      <c r="A64" s="160" t="s">
        <v>343</v>
      </c>
      <c r="B64" s="160">
        <v>250</v>
      </c>
      <c r="C64" s="160" t="s">
        <v>344</v>
      </c>
    </row>
    <row r="65" spans="1:12" x14ac:dyDescent="0.3">
      <c r="A65" s="160" t="s">
        <v>345</v>
      </c>
      <c r="B65" s="160">
        <v>25</v>
      </c>
      <c r="C65" s="160" t="s">
        <v>1</v>
      </c>
    </row>
    <row r="66" spans="1:12" x14ac:dyDescent="0.3">
      <c r="A66" s="160" t="s">
        <v>346</v>
      </c>
      <c r="B66" s="160">
        <f>B64+B65</f>
        <v>275</v>
      </c>
      <c r="C66" s="160" t="s">
        <v>1</v>
      </c>
    </row>
    <row r="68" spans="1:12" x14ac:dyDescent="0.3">
      <c r="A68" s="160" t="s">
        <v>347</v>
      </c>
      <c r="B68" s="202" t="s">
        <v>348</v>
      </c>
      <c r="C68" s="202"/>
    </row>
    <row r="69" spans="1:12" ht="43.2" x14ac:dyDescent="0.3">
      <c r="A69" s="162" t="s">
        <v>5</v>
      </c>
      <c r="B69" s="155" t="s">
        <v>364</v>
      </c>
      <c r="C69" s="131" t="s">
        <v>11</v>
      </c>
      <c r="D69" s="131" t="s">
        <v>9</v>
      </c>
      <c r="E69" s="205" t="s">
        <v>357</v>
      </c>
      <c r="F69" s="205"/>
      <c r="G69" s="155" t="s">
        <v>362</v>
      </c>
      <c r="H69" s="155" t="s">
        <v>363</v>
      </c>
      <c r="I69" s="131" t="s">
        <v>14</v>
      </c>
      <c r="J69" s="131" t="s">
        <v>15</v>
      </c>
    </row>
    <row r="70" spans="1:12" x14ac:dyDescent="0.3">
      <c r="A70" s="206" t="s">
        <v>7</v>
      </c>
      <c r="B70" s="136">
        <f>B53</f>
        <v>3.25</v>
      </c>
      <c r="C70" s="137">
        <f>K25</f>
        <v>41.689747395833336</v>
      </c>
      <c r="D70" s="137">
        <f>M25</f>
        <v>35.504303385416677</v>
      </c>
      <c r="E70" s="137">
        <f>(1-(SQRT((1-((4.6*C70*10^6)/$F$63)))))*$F$62</f>
        <v>396.09710966442765</v>
      </c>
      <c r="F70" s="137">
        <f>(1-(SQRT((1-((4.6*D70*10^6)/$F$63)))))*$F$62</f>
        <v>335.65260483651645</v>
      </c>
      <c r="G70" s="136" t="s">
        <v>355</v>
      </c>
      <c r="H70" s="136" t="s">
        <v>349</v>
      </c>
      <c r="I70" s="138">
        <f>100*(4*113)/(250*$B$64)</f>
        <v>0.72319999999999995</v>
      </c>
      <c r="J70" s="138">
        <f>100*(4*113)/(250*$B$64)</f>
        <v>0.72319999999999995</v>
      </c>
      <c r="L70" s="125"/>
    </row>
    <row r="71" spans="1:12" x14ac:dyDescent="0.3">
      <c r="A71" s="206"/>
      <c r="B71" s="136">
        <f>B54</f>
        <v>3.25</v>
      </c>
      <c r="C71" s="137">
        <f>K26</f>
        <v>41.689747395833336</v>
      </c>
      <c r="D71" s="137">
        <f>M26</f>
        <v>27.4864306640625</v>
      </c>
      <c r="E71" s="137">
        <f t="shared" ref="E71:F72" si="21">(1-(SQRT((1-((4.6*C71*10^6)/$F$63)))))*$F$62</f>
        <v>396.09710966442765</v>
      </c>
      <c r="F71" s="137">
        <f t="shared" si="21"/>
        <v>258.20890938003311</v>
      </c>
      <c r="G71" s="136" t="s">
        <v>349</v>
      </c>
      <c r="H71" s="136" t="s">
        <v>16</v>
      </c>
      <c r="I71" s="138">
        <f>100*(4*113)/(250*$B$64)</f>
        <v>0.72319999999999995</v>
      </c>
      <c r="J71" s="138">
        <f>100*(3*113)/(250*$B$64)</f>
        <v>0.54239999999999999</v>
      </c>
      <c r="L71" s="125"/>
    </row>
    <row r="72" spans="1:12" x14ac:dyDescent="0.3">
      <c r="A72" s="206"/>
      <c r="B72" s="136">
        <f>B55</f>
        <v>3.25</v>
      </c>
      <c r="C72" s="137">
        <f>K27</f>
        <v>41.689747395833336</v>
      </c>
      <c r="D72" s="137">
        <f>M27</f>
        <v>35.504303385416677</v>
      </c>
      <c r="E72" s="137">
        <f t="shared" si="21"/>
        <v>396.09710966442765</v>
      </c>
      <c r="F72" s="137">
        <f t="shared" si="21"/>
        <v>335.65260483651645</v>
      </c>
      <c r="G72" s="136" t="s">
        <v>349</v>
      </c>
      <c r="H72" s="136" t="s">
        <v>349</v>
      </c>
      <c r="I72" s="138">
        <f>100*(4*113)/(250*$B$64)</f>
        <v>0.72319999999999995</v>
      </c>
      <c r="J72" s="138">
        <f t="shared" ref="J72" si="22">100*(4*113)/(250*$B$64)</f>
        <v>0.72319999999999995</v>
      </c>
      <c r="L72" s="125"/>
    </row>
    <row r="73" spans="1:12" x14ac:dyDescent="0.3">
      <c r="A73" s="125"/>
      <c r="B73" s="125"/>
      <c r="C73" s="125"/>
      <c r="D73" s="125"/>
      <c r="E73" s="125"/>
      <c r="F73" s="125"/>
      <c r="G73" s="125"/>
      <c r="H73" s="125"/>
      <c r="L73" s="125"/>
    </row>
    <row r="74" spans="1:12" ht="43.2" x14ac:dyDescent="0.3">
      <c r="A74" s="8" t="s">
        <v>5</v>
      </c>
      <c r="B74" s="129" t="s">
        <v>8</v>
      </c>
      <c r="C74" s="129" t="s">
        <v>11</v>
      </c>
      <c r="D74" s="129" t="s">
        <v>12</v>
      </c>
      <c r="E74" s="129" t="s">
        <v>9</v>
      </c>
      <c r="F74" s="207" t="s">
        <v>357</v>
      </c>
      <c r="G74" s="207"/>
      <c r="H74" s="207"/>
      <c r="I74" s="174" t="s">
        <v>371</v>
      </c>
      <c r="J74" s="174" t="s">
        <v>363</v>
      </c>
      <c r="K74" s="129" t="s">
        <v>14</v>
      </c>
      <c r="L74" s="129" t="s">
        <v>15</v>
      </c>
    </row>
    <row r="75" spans="1:12" x14ac:dyDescent="0.3">
      <c r="A75" s="208" t="s">
        <v>4</v>
      </c>
      <c r="B75" s="130">
        <f>B56</f>
        <v>4</v>
      </c>
      <c r="C75" s="169">
        <f>K28</f>
        <v>69.21573177083333</v>
      </c>
      <c r="D75" s="169"/>
      <c r="E75" s="169">
        <f>M28</f>
        <v>59.031686197916663</v>
      </c>
      <c r="F75" s="169">
        <f>(1-(SQRT((1-((4.6*C75*10^6)/$F$63)))))*$F$62</f>
        <v>673.02135145254761</v>
      </c>
      <c r="G75" s="169">
        <f>(1-(SQRT((1-((4.6*D75*10^6)/$F$63)))))*$F$62</f>
        <v>0</v>
      </c>
      <c r="H75" s="169">
        <f>(1-(SQRT((1-((4.6*E75*10^6)/$F$63)))))*$F$62</f>
        <v>568.99163112396138</v>
      </c>
      <c r="I75" s="171" t="s">
        <v>350</v>
      </c>
      <c r="J75" s="171" t="s">
        <v>17</v>
      </c>
      <c r="K75" s="168">
        <f>100*(4*201)/(250*$B$64)</f>
        <v>1.2864</v>
      </c>
      <c r="L75" s="168">
        <f>100*(3*201)/(250*$B$64)</f>
        <v>0.96479999999999999</v>
      </c>
    </row>
    <row r="76" spans="1:12" x14ac:dyDescent="0.3">
      <c r="A76" s="208"/>
      <c r="B76" s="130">
        <f>B57</f>
        <v>4</v>
      </c>
      <c r="C76" s="169">
        <f>K29</f>
        <v>69.21573177083333</v>
      </c>
      <c r="D76" s="169">
        <f>L29</f>
        <v>61.059550781249996</v>
      </c>
      <c r="E76" s="169">
        <f>M29</f>
        <v>45.794663085937501</v>
      </c>
      <c r="F76" s="169">
        <f t="shared" ref="F76:H78" si="23">(1-(SQRT((1-((4.6*C76*10^6)/$F$63)))))*$F$62</f>
        <v>673.02135145254761</v>
      </c>
      <c r="G76" s="169">
        <f t="shared" si="23"/>
        <v>589.55375786005277</v>
      </c>
      <c r="H76" s="169">
        <f t="shared" si="23"/>
        <v>436.55749618892457</v>
      </c>
      <c r="I76" s="171" t="s">
        <v>350</v>
      </c>
      <c r="J76" s="171" t="s">
        <v>17</v>
      </c>
      <c r="K76" s="168">
        <f>100*(4*201)/(250*$B$64)</f>
        <v>1.2864</v>
      </c>
      <c r="L76" s="168">
        <f>100*(3*201)/(250*$B$64)</f>
        <v>0.96479999999999999</v>
      </c>
    </row>
    <row r="77" spans="1:12" x14ac:dyDescent="0.3">
      <c r="A77" s="208"/>
      <c r="B77" s="130">
        <f>B58</f>
        <v>4</v>
      </c>
      <c r="C77" s="169">
        <f>K30</f>
        <v>69.21573177083333</v>
      </c>
      <c r="D77" s="169">
        <f>L30</f>
        <v>61.059550781249996</v>
      </c>
      <c r="E77" s="169">
        <f>M30</f>
        <v>45.794663085937501</v>
      </c>
      <c r="F77" s="169">
        <f t="shared" si="23"/>
        <v>673.02135145254761</v>
      </c>
      <c r="G77" s="169">
        <f t="shared" si="23"/>
        <v>589.55375786005277</v>
      </c>
      <c r="H77" s="169">
        <f t="shared" si="23"/>
        <v>436.55749618892457</v>
      </c>
      <c r="I77" s="171" t="s">
        <v>350</v>
      </c>
      <c r="J77" s="171" t="s">
        <v>17</v>
      </c>
      <c r="K77" s="168">
        <f>100*(4*201)/(250*$B$64)</f>
        <v>1.2864</v>
      </c>
      <c r="L77" s="168">
        <f>100*(3*201)/(250*$B$64)</f>
        <v>0.96479999999999999</v>
      </c>
    </row>
    <row r="78" spans="1:12" x14ac:dyDescent="0.3">
      <c r="A78" s="208"/>
      <c r="B78" s="130">
        <f>B59</f>
        <v>4</v>
      </c>
      <c r="C78" s="169">
        <f>K31</f>
        <v>69.21573177083333</v>
      </c>
      <c r="D78" s="169"/>
      <c r="E78" s="169">
        <f>M31</f>
        <v>59.031686197916663</v>
      </c>
      <c r="F78" s="169">
        <f t="shared" si="23"/>
        <v>673.02135145254761</v>
      </c>
      <c r="G78" s="169">
        <f t="shared" si="23"/>
        <v>0</v>
      </c>
      <c r="H78" s="169">
        <f t="shared" si="23"/>
        <v>568.99163112396138</v>
      </c>
      <c r="I78" s="171" t="s">
        <v>350</v>
      </c>
      <c r="J78" s="171" t="s">
        <v>356</v>
      </c>
      <c r="K78" s="168">
        <f>100*(4*201)/(250*$B$64)</f>
        <v>1.2864</v>
      </c>
      <c r="L78" s="168">
        <f>100*(3*201)/(250*$B$64)</f>
        <v>0.96479999999999999</v>
      </c>
    </row>
    <row r="80" spans="1:12" x14ac:dyDescent="0.3">
      <c r="A80" s="159" t="s">
        <v>351</v>
      </c>
      <c r="B80" s="160" t="s">
        <v>352</v>
      </c>
      <c r="C80" s="160"/>
      <c r="D80" s="202" t="s">
        <v>353</v>
      </c>
      <c r="E80" s="202"/>
    </row>
    <row r="81" spans="1:18" ht="72" x14ac:dyDescent="0.3">
      <c r="A81" s="143" t="s">
        <v>5</v>
      </c>
      <c r="B81" s="144" t="s">
        <v>8</v>
      </c>
      <c r="C81" s="144" t="s">
        <v>10</v>
      </c>
      <c r="D81" s="144" t="s">
        <v>13</v>
      </c>
      <c r="E81" s="144" t="s">
        <v>358</v>
      </c>
      <c r="F81" s="144" t="s">
        <v>358</v>
      </c>
      <c r="G81" s="144" t="s">
        <v>359</v>
      </c>
      <c r="H81" s="144" t="s">
        <v>359</v>
      </c>
      <c r="I81" s="144" t="s">
        <v>18</v>
      </c>
      <c r="J81" s="144" t="s">
        <v>18</v>
      </c>
      <c r="K81" s="144" t="s">
        <v>360</v>
      </c>
      <c r="L81" s="144" t="s">
        <v>361</v>
      </c>
      <c r="M81" s="144" t="s">
        <v>372</v>
      </c>
    </row>
    <row r="82" spans="1:18" x14ac:dyDescent="0.3">
      <c r="A82" s="203" t="s">
        <v>7</v>
      </c>
      <c r="B82" s="133">
        <f>B70</f>
        <v>3.25</v>
      </c>
      <c r="C82" s="134">
        <f>M44</f>
        <v>51.486500000000014</v>
      </c>
      <c r="D82" s="163">
        <f>O44</f>
        <v>74.85318749999999</v>
      </c>
      <c r="E82" s="164">
        <f>(C82*1000)/(250*250)</f>
        <v>0.82378400000000018</v>
      </c>
      <c r="F82" s="164">
        <f>(D82*1000)/(250*250)</f>
        <v>1.1976509999999998</v>
      </c>
      <c r="G82" s="164">
        <f>0.354</f>
        <v>0.35399999999999998</v>
      </c>
      <c r="H82" s="164">
        <f>0.354</f>
        <v>0.35399999999999998</v>
      </c>
      <c r="I82" s="134">
        <f>((M44*1000)-(G82*250*250))/1000</f>
        <v>29.361500000000014</v>
      </c>
      <c r="J82" s="134">
        <f>((O44*1000)-(H82*250*250))/1000</f>
        <v>52.728187499999983</v>
      </c>
      <c r="K82" s="165">
        <f>0.87*500*2*50*250/(I82*10^3)</f>
        <v>370.38298452054545</v>
      </c>
      <c r="L82" s="165">
        <f>0.87*500*2*50*250/(J82*10^3)</f>
        <v>206.24642180238044</v>
      </c>
      <c r="M82" s="133">
        <v>250</v>
      </c>
    </row>
    <row r="83" spans="1:18" x14ac:dyDescent="0.3">
      <c r="A83" s="203"/>
      <c r="B83" s="133">
        <f t="shared" ref="B83:B84" si="24">B71</f>
        <v>3.25</v>
      </c>
      <c r="C83" s="134">
        <f>M45</f>
        <v>0</v>
      </c>
      <c r="D83" s="163">
        <f>O45</f>
        <v>70.199796875000004</v>
      </c>
      <c r="E83" s="164">
        <f>(C83*1000)/(250*250)</f>
        <v>0</v>
      </c>
      <c r="F83" s="164">
        <f t="shared" ref="F83:F84" si="25">(D83*1000)/(250*250)</f>
        <v>1.12319675</v>
      </c>
      <c r="G83" s="164"/>
      <c r="H83" s="164">
        <f>0.318</f>
        <v>0.318</v>
      </c>
      <c r="I83" s="134">
        <f>((M45*1000)-(G83*250*250))/1000</f>
        <v>0</v>
      </c>
      <c r="J83" s="134">
        <f>((O45*1000)-(H83*250*250))/1000</f>
        <v>50.324796874999997</v>
      </c>
      <c r="K83" s="165"/>
      <c r="L83" s="165">
        <f>0.87*500*2*50*250/(J83*10^3)</f>
        <v>216.09625225139072</v>
      </c>
      <c r="M83" s="133">
        <v>250</v>
      </c>
    </row>
    <row r="84" spans="1:18" x14ac:dyDescent="0.3">
      <c r="A84" s="203"/>
      <c r="B84" s="133">
        <f t="shared" si="24"/>
        <v>3.25</v>
      </c>
      <c r="C84" s="134">
        <f>M46</f>
        <v>51.486500000000014</v>
      </c>
      <c r="D84" s="163">
        <f>O46</f>
        <v>74.85318749999999</v>
      </c>
      <c r="E84" s="164">
        <f>(C84*1000)/(250*250)</f>
        <v>0.82378400000000018</v>
      </c>
      <c r="F84" s="164">
        <f t="shared" si="25"/>
        <v>1.1976509999999998</v>
      </c>
      <c r="G84" s="164">
        <f>0.354</f>
        <v>0.35399999999999998</v>
      </c>
      <c r="H84" s="164">
        <f>0.354</f>
        <v>0.35399999999999998</v>
      </c>
      <c r="I84" s="134">
        <f>((M46*1000)-(G84*250*250))/1000</f>
        <v>29.361500000000014</v>
      </c>
      <c r="J84" s="134">
        <f>((O46*1000)-(H84*250*250))/1000</f>
        <v>52.728187499999983</v>
      </c>
      <c r="K84" s="165">
        <f>0.87*500*2*50*250/(I84*10^3)</f>
        <v>370.38298452054545</v>
      </c>
      <c r="L84" s="165">
        <f>0.87*500*2*50*250/(J84*10^3)</f>
        <v>206.24642180238044</v>
      </c>
      <c r="M84" s="133">
        <v>250</v>
      </c>
    </row>
    <row r="85" spans="1:18" x14ac:dyDescent="0.3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</row>
    <row r="86" spans="1:18" ht="72" x14ac:dyDescent="0.3">
      <c r="A86" s="166" t="s">
        <v>5</v>
      </c>
      <c r="B86" s="167" t="s">
        <v>8</v>
      </c>
      <c r="C86" s="167" t="s">
        <v>10</v>
      </c>
      <c r="D86" s="167" t="s">
        <v>13</v>
      </c>
      <c r="E86" s="167" t="s">
        <v>354</v>
      </c>
      <c r="F86" s="167" t="s">
        <v>358</v>
      </c>
      <c r="G86" s="167" t="s">
        <v>358</v>
      </c>
      <c r="H86" s="167" t="s">
        <v>358</v>
      </c>
      <c r="I86" s="167" t="s">
        <v>359</v>
      </c>
      <c r="J86" s="167" t="s">
        <v>359</v>
      </c>
      <c r="K86" s="167" t="s">
        <v>359</v>
      </c>
      <c r="L86" s="167" t="s">
        <v>18</v>
      </c>
      <c r="M86" s="167" t="s">
        <v>18</v>
      </c>
      <c r="N86" s="167" t="s">
        <v>18</v>
      </c>
      <c r="O86" s="167" t="s">
        <v>360</v>
      </c>
      <c r="P86" s="167" t="s">
        <v>360</v>
      </c>
      <c r="Q86" s="167" t="s">
        <v>360</v>
      </c>
      <c r="R86" s="167" t="s">
        <v>19</v>
      </c>
    </row>
    <row r="87" spans="1:18" x14ac:dyDescent="0.3">
      <c r="A87" s="204" t="s">
        <v>4</v>
      </c>
      <c r="B87" s="132">
        <f>B75</f>
        <v>4</v>
      </c>
      <c r="C87" s="150">
        <f>M47</f>
        <v>69.469214843749995</v>
      </c>
      <c r="D87" s="150">
        <f>O47</f>
        <v>100.78180078125001</v>
      </c>
      <c r="E87" s="150">
        <f>N47</f>
        <v>0</v>
      </c>
      <c r="F87" s="145">
        <f>(C87*1000)/(250*250)</f>
        <v>1.1115074375</v>
      </c>
      <c r="G87" s="145">
        <f t="shared" ref="G87:H90" si="26">(D87*1000)/(250*250)</f>
        <v>1.6125088125000002</v>
      </c>
      <c r="H87" s="145">
        <f t="shared" si="26"/>
        <v>0</v>
      </c>
      <c r="I87" s="170">
        <f>0.443</f>
        <v>0.443</v>
      </c>
      <c r="J87" s="170">
        <f>0.3936</f>
        <v>0.39360000000000001</v>
      </c>
      <c r="K87" s="170"/>
      <c r="L87" s="146">
        <f>(M47*1000-(I87*250*250))/1000</f>
        <v>41.781714843750002</v>
      </c>
      <c r="M87" s="146">
        <f>(O47*1000-(J87*250*250))/1000</f>
        <v>76.181800781250018</v>
      </c>
      <c r="N87" s="146">
        <f>(N47*1000-(K87*250*250))/1000</f>
        <v>0</v>
      </c>
      <c r="O87" s="146">
        <f>0.87*500*100*250/(L87*1000)</f>
        <v>260.28132259934654</v>
      </c>
      <c r="P87" s="146">
        <f>0.87*500*100*250/(M87*1000)</f>
        <v>142.75062926415586</v>
      </c>
      <c r="Q87" s="146"/>
      <c r="R87" s="172">
        <v>250</v>
      </c>
    </row>
    <row r="88" spans="1:18" x14ac:dyDescent="0.3">
      <c r="A88" s="204"/>
      <c r="B88" s="132">
        <f>B76</f>
        <v>4</v>
      </c>
      <c r="C88" s="150">
        <f>M48</f>
        <v>0</v>
      </c>
      <c r="D88" s="150">
        <f>O48</f>
        <v>94.664665039062498</v>
      </c>
      <c r="E88" s="150">
        <f>N48</f>
        <v>88.547529296875013</v>
      </c>
      <c r="F88" s="145">
        <f t="shared" ref="F88:F90" si="27">(C88*1000)/(250*250)</f>
        <v>0</v>
      </c>
      <c r="G88" s="145">
        <f t="shared" si="26"/>
        <v>1.514634640625</v>
      </c>
      <c r="H88" s="145">
        <f t="shared" si="26"/>
        <v>1.4167604687500002</v>
      </c>
      <c r="I88" s="170"/>
      <c r="J88" s="170">
        <f t="shared" ref="J88:J90" si="28">0.3936</f>
        <v>0.39360000000000001</v>
      </c>
      <c r="K88" s="170">
        <v>0.443</v>
      </c>
      <c r="L88" s="146">
        <f>(M48*1000-(I88*250*250))/1000</f>
        <v>0</v>
      </c>
      <c r="M88" s="146">
        <f>(O48*1000-(J88*250*250))/1000</f>
        <v>70.064665039062504</v>
      </c>
      <c r="N88" s="146">
        <f>(N48*1000-(K88*250*250))/1000</f>
        <v>60.860029296875013</v>
      </c>
      <c r="O88" s="146">
        <v>0</v>
      </c>
      <c r="P88" s="146">
        <v>0</v>
      </c>
      <c r="Q88" s="146">
        <f>0.87*500*100*250/(N88*1000)</f>
        <v>178.68870793590631</v>
      </c>
      <c r="R88" s="172">
        <v>250</v>
      </c>
    </row>
    <row r="89" spans="1:18" x14ac:dyDescent="0.3">
      <c r="A89" s="204"/>
      <c r="B89" s="132">
        <f t="shared" ref="B89:B90" si="29">B77</f>
        <v>4</v>
      </c>
      <c r="C89" s="150">
        <f>M49</f>
        <v>0</v>
      </c>
      <c r="D89" s="150">
        <f>O49</f>
        <v>94.664665039062498</v>
      </c>
      <c r="E89" s="150">
        <f>N49</f>
        <v>88.547529296875013</v>
      </c>
      <c r="F89" s="145">
        <f t="shared" si="27"/>
        <v>0</v>
      </c>
      <c r="G89" s="145">
        <f t="shared" si="26"/>
        <v>1.514634640625</v>
      </c>
      <c r="H89" s="145">
        <f t="shared" si="26"/>
        <v>1.4167604687500002</v>
      </c>
      <c r="I89" s="170"/>
      <c r="J89" s="170">
        <f t="shared" si="28"/>
        <v>0.39360000000000001</v>
      </c>
      <c r="K89" s="170">
        <v>0.443</v>
      </c>
      <c r="L89" s="146">
        <f>(M49*1000-(I89*250*250))/1000</f>
        <v>0</v>
      </c>
      <c r="M89" s="146">
        <f>(O49*1000-(J89*250*250))/1000</f>
        <v>70.064665039062504</v>
      </c>
      <c r="N89" s="146">
        <f>(N49*1000-(K89*250*250))/1000</f>
        <v>60.860029296875013</v>
      </c>
      <c r="O89" s="146">
        <v>0</v>
      </c>
      <c r="P89" s="146">
        <f>0.87*500*100*250/(M89*1000)</f>
        <v>155.21375851774874</v>
      </c>
      <c r="Q89" s="146">
        <f>0.87*500*100*250/(N89*1000)</f>
        <v>178.68870793590631</v>
      </c>
      <c r="R89" s="172">
        <v>250</v>
      </c>
    </row>
    <row r="90" spans="1:18" x14ac:dyDescent="0.3">
      <c r="A90" s="204"/>
      <c r="B90" s="132">
        <f t="shared" si="29"/>
        <v>4</v>
      </c>
      <c r="C90" s="150">
        <f>M50</f>
        <v>69.469214843749995</v>
      </c>
      <c r="D90" s="150">
        <f>O50</f>
        <v>100.78180078125001</v>
      </c>
      <c r="E90" s="150">
        <f>N50</f>
        <v>0</v>
      </c>
      <c r="F90" s="145">
        <f t="shared" si="27"/>
        <v>1.1115074375</v>
      </c>
      <c r="G90" s="145">
        <f t="shared" si="26"/>
        <v>1.6125088125000002</v>
      </c>
      <c r="H90" s="145">
        <f t="shared" si="26"/>
        <v>0</v>
      </c>
      <c r="I90" s="170">
        <f>0.443</f>
        <v>0.443</v>
      </c>
      <c r="J90" s="170">
        <f t="shared" si="28"/>
        <v>0.39360000000000001</v>
      </c>
      <c r="K90" s="170"/>
      <c r="L90" s="146">
        <f>(M50*1000-(I90*250*250))/1000</f>
        <v>41.781714843750002</v>
      </c>
      <c r="M90" s="146">
        <f>(O50*1000-(J90*250*250))/1000</f>
        <v>76.181800781250018</v>
      </c>
      <c r="N90" s="146">
        <f>(N50*1000-(K90*250*250))/1000</f>
        <v>0</v>
      </c>
      <c r="O90" s="146">
        <f>0.87*500*100*250/(L90*1000)</f>
        <v>260.28132259934654</v>
      </c>
      <c r="P90" s="146">
        <f>0.87*500*100*250/(M90*1000)</f>
        <v>142.75062926415586</v>
      </c>
      <c r="Q90" s="146"/>
      <c r="R90" s="172">
        <v>250</v>
      </c>
    </row>
  </sheetData>
  <mergeCells count="22">
    <mergeCell ref="A28:A31"/>
    <mergeCell ref="A34:A36"/>
    <mergeCell ref="A37:A40"/>
    <mergeCell ref="L42:N42"/>
    <mergeCell ref="I13:J13"/>
    <mergeCell ref="K13:N13"/>
    <mergeCell ref="B23:C23"/>
    <mergeCell ref="A25:A27"/>
    <mergeCell ref="C13:F13"/>
    <mergeCell ref="A44:A46"/>
    <mergeCell ref="A47:A50"/>
    <mergeCell ref="A53:A55"/>
    <mergeCell ref="A56:A59"/>
    <mergeCell ref="B61:C61"/>
    <mergeCell ref="D80:E80"/>
    <mergeCell ref="A82:A84"/>
    <mergeCell ref="A87:A90"/>
    <mergeCell ref="B68:C68"/>
    <mergeCell ref="E69:F69"/>
    <mergeCell ref="A70:A72"/>
    <mergeCell ref="F74:H74"/>
    <mergeCell ref="A75:A7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utoCAD.Drawing.24" shapeId="2049" r:id="rId4">
          <objectPr defaultSize="0" autoPict="0" r:id="rId5">
            <anchor moveWithCells="1">
              <from>
                <xdr:col>13</xdr:col>
                <xdr:colOff>403860</xdr:colOff>
                <xdr:row>20</xdr:row>
                <xdr:rowOff>129540</xdr:rowOff>
              </from>
              <to>
                <xdr:col>19</xdr:col>
                <xdr:colOff>388620</xdr:colOff>
                <xdr:row>31</xdr:row>
                <xdr:rowOff>30480</xdr:rowOff>
              </to>
            </anchor>
          </objectPr>
        </oleObject>
      </mc:Choice>
      <mc:Fallback>
        <oleObject progId="AutoCAD.Drawing.24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opLeftCell="A101" workbookViewId="0">
      <selection activeCell="J14" sqref="J14"/>
    </sheetView>
  </sheetViews>
  <sheetFormatPr defaultRowHeight="14.4" x14ac:dyDescent="0.3"/>
  <cols>
    <col min="1" max="1" width="16.33203125" customWidth="1"/>
    <col min="2" max="2" width="15.33203125" customWidth="1"/>
    <col min="4" max="4" width="12" customWidth="1"/>
    <col min="8" max="8" width="9.33203125" customWidth="1"/>
    <col min="9" max="9" width="9.44140625" bestFit="1" customWidth="1"/>
    <col min="11" max="11" width="14.5546875" customWidth="1"/>
  </cols>
  <sheetData>
    <row r="1" spans="1:7" x14ac:dyDescent="0.3">
      <c r="A1" s="231" t="s">
        <v>20</v>
      </c>
      <c r="B1" s="231"/>
      <c r="C1" s="231"/>
      <c r="D1" s="63"/>
    </row>
    <row r="2" spans="1:7" x14ac:dyDescent="0.3">
      <c r="A2" s="231" t="s">
        <v>269</v>
      </c>
      <c r="B2" s="231"/>
      <c r="C2" s="231"/>
      <c r="D2" s="231"/>
    </row>
    <row r="3" spans="1:7" x14ac:dyDescent="0.3">
      <c r="A3" s="231" t="s">
        <v>21</v>
      </c>
      <c r="B3" s="231"/>
      <c r="C3" s="231"/>
      <c r="D3" s="63"/>
    </row>
    <row r="4" spans="1:7" ht="43.2" x14ac:dyDescent="0.3">
      <c r="A4" s="111" t="s">
        <v>22</v>
      </c>
      <c r="B4" s="111" t="s">
        <v>23</v>
      </c>
      <c r="C4" s="121" t="s">
        <v>245</v>
      </c>
      <c r="D4" s="121" t="s">
        <v>24</v>
      </c>
      <c r="E4" s="121" t="s">
        <v>25</v>
      </c>
      <c r="F4" s="121" t="s">
        <v>26</v>
      </c>
      <c r="G4" s="121" t="s">
        <v>27</v>
      </c>
    </row>
    <row r="5" spans="1:7" x14ac:dyDescent="0.3">
      <c r="A5" s="248" t="s">
        <v>28</v>
      </c>
      <c r="B5" s="123" t="s">
        <v>29</v>
      </c>
      <c r="C5" s="124">
        <v>20</v>
      </c>
      <c r="D5" s="124">
        <v>1</v>
      </c>
      <c r="E5" s="124">
        <v>0.2</v>
      </c>
      <c r="F5" s="124">
        <f>3.25/2</f>
        <v>1.625</v>
      </c>
      <c r="G5" s="124">
        <f>C5*D5*E5*F5</f>
        <v>6.5</v>
      </c>
    </row>
    <row r="6" spans="1:7" x14ac:dyDescent="0.3">
      <c r="A6" s="248"/>
      <c r="B6" s="123" t="s">
        <v>29</v>
      </c>
      <c r="C6" s="124">
        <v>20</v>
      </c>
      <c r="D6" s="124">
        <v>1</v>
      </c>
      <c r="E6" s="124">
        <v>0.2</v>
      </c>
      <c r="F6" s="124">
        <f>4/2</f>
        <v>2</v>
      </c>
      <c r="G6" s="124">
        <f>C6*D6*E6*F6</f>
        <v>8</v>
      </c>
    </row>
    <row r="7" spans="1:7" x14ac:dyDescent="0.3">
      <c r="A7" s="124"/>
      <c r="B7" s="124"/>
      <c r="C7" s="124"/>
      <c r="D7" s="248" t="s">
        <v>30</v>
      </c>
      <c r="E7" s="248"/>
      <c r="F7" s="124"/>
      <c r="G7" s="124">
        <f>SUM(G5:G6)</f>
        <v>14.5</v>
      </c>
    </row>
    <row r="8" spans="1:7" x14ac:dyDescent="0.3">
      <c r="A8" s="4"/>
      <c r="B8" s="4"/>
      <c r="C8" s="4"/>
      <c r="D8" s="4"/>
      <c r="E8" s="4"/>
      <c r="F8" s="4"/>
      <c r="G8" s="4"/>
    </row>
    <row r="9" spans="1:7" ht="43.2" x14ac:dyDescent="0.3">
      <c r="A9" s="57" t="s">
        <v>22</v>
      </c>
      <c r="B9" s="57" t="s">
        <v>23</v>
      </c>
      <c r="C9" s="58" t="s">
        <v>246</v>
      </c>
      <c r="D9" s="58" t="s">
        <v>31</v>
      </c>
      <c r="E9" s="58" t="s">
        <v>32</v>
      </c>
      <c r="F9" s="58" t="s">
        <v>27</v>
      </c>
    </row>
    <row r="10" spans="1:7" x14ac:dyDescent="0.3">
      <c r="A10" s="232" t="s">
        <v>33</v>
      </c>
      <c r="B10" s="103" t="s">
        <v>34</v>
      </c>
      <c r="C10" s="103">
        <v>3.53</v>
      </c>
      <c r="D10" s="103">
        <v>3.25</v>
      </c>
      <c r="E10" s="103">
        <v>4</v>
      </c>
      <c r="F10" s="104">
        <f>C10*(D10*E10)/4</f>
        <v>11.4725</v>
      </c>
    </row>
    <row r="11" spans="1:7" x14ac:dyDescent="0.3">
      <c r="A11" s="232"/>
      <c r="B11" s="103" t="s">
        <v>35</v>
      </c>
      <c r="C11" s="103">
        <v>3</v>
      </c>
      <c r="D11" s="103">
        <v>3.25</v>
      </c>
      <c r="E11" s="103">
        <v>4</v>
      </c>
      <c r="F11" s="103">
        <f>C11*(D11*E11)/4</f>
        <v>9.75</v>
      </c>
    </row>
    <row r="12" spans="1:7" x14ac:dyDescent="0.3">
      <c r="A12" s="103"/>
      <c r="B12" s="103"/>
      <c r="C12" s="103"/>
      <c r="D12" s="103"/>
      <c r="E12" s="103"/>
      <c r="F12" s="103"/>
    </row>
    <row r="13" spans="1:7" x14ac:dyDescent="0.3">
      <c r="A13" s="232" t="s">
        <v>36</v>
      </c>
      <c r="B13" s="103" t="s">
        <v>34</v>
      </c>
      <c r="C13" s="103">
        <f>C10</f>
        <v>3.53</v>
      </c>
      <c r="D13" s="103">
        <v>3.25</v>
      </c>
      <c r="E13" s="103">
        <v>4</v>
      </c>
      <c r="F13" s="104">
        <f>C13*(D13*E13)/4</f>
        <v>11.4725</v>
      </c>
    </row>
    <row r="14" spans="1:7" x14ac:dyDescent="0.3">
      <c r="A14" s="232"/>
      <c r="B14" s="103" t="s">
        <v>35</v>
      </c>
      <c r="C14" s="103">
        <v>3</v>
      </c>
      <c r="D14" s="103">
        <v>3.25</v>
      </c>
      <c r="E14" s="103">
        <v>4</v>
      </c>
      <c r="F14" s="103">
        <f>C14*(D14*E14)/4</f>
        <v>9.75</v>
      </c>
    </row>
    <row r="15" spans="1:7" x14ac:dyDescent="0.3">
      <c r="A15" s="103"/>
      <c r="B15" s="103"/>
      <c r="C15" s="103"/>
      <c r="D15" s="103"/>
      <c r="E15" s="103"/>
      <c r="F15" s="103"/>
    </row>
    <row r="16" spans="1:7" x14ac:dyDescent="0.3">
      <c r="A16" s="232" t="s">
        <v>37</v>
      </c>
      <c r="B16" s="103" t="s">
        <v>34</v>
      </c>
      <c r="C16" s="103">
        <f>C10</f>
        <v>3.53</v>
      </c>
      <c r="D16" s="103">
        <v>3.25</v>
      </c>
      <c r="E16" s="103">
        <v>4</v>
      </c>
      <c r="F16" s="104">
        <f>C16*(D16*E16)/4</f>
        <v>11.4725</v>
      </c>
    </row>
    <row r="17" spans="1:6" x14ac:dyDescent="0.3">
      <c r="A17" s="232"/>
      <c r="B17" s="103" t="s">
        <v>35</v>
      </c>
      <c r="C17" s="103">
        <v>3</v>
      </c>
      <c r="D17" s="103">
        <v>3.25</v>
      </c>
      <c r="E17" s="103">
        <v>4</v>
      </c>
      <c r="F17" s="103">
        <f>C17*(D17*E17)/4</f>
        <v>9.75</v>
      </c>
    </row>
    <row r="18" spans="1:6" x14ac:dyDescent="0.3">
      <c r="A18" s="9"/>
      <c r="B18" s="9"/>
      <c r="C18" s="9"/>
      <c r="D18" s="9"/>
      <c r="E18" s="9"/>
      <c r="F18" s="9"/>
    </row>
    <row r="19" spans="1:6" ht="43.2" x14ac:dyDescent="0.3">
      <c r="A19" s="102" t="s">
        <v>22</v>
      </c>
      <c r="B19" s="102" t="s">
        <v>23</v>
      </c>
      <c r="C19" s="112" t="s">
        <v>97</v>
      </c>
      <c r="D19" s="112" t="s">
        <v>31</v>
      </c>
      <c r="E19" s="112" t="s">
        <v>32</v>
      </c>
      <c r="F19" s="112" t="s">
        <v>27</v>
      </c>
    </row>
    <row r="20" spans="1:6" x14ac:dyDescent="0.3">
      <c r="A20" s="229" t="s">
        <v>33</v>
      </c>
      <c r="B20" s="229" t="s">
        <v>38</v>
      </c>
      <c r="C20" s="229">
        <v>11.44</v>
      </c>
      <c r="D20" s="100">
        <v>3.25</v>
      </c>
      <c r="E20" s="100"/>
      <c r="F20" s="101">
        <f>C20*(D20/2)</f>
        <v>18.59</v>
      </c>
    </row>
    <row r="21" spans="1:6" x14ac:dyDescent="0.3">
      <c r="A21" s="229"/>
      <c r="B21" s="229"/>
      <c r="C21" s="229"/>
      <c r="D21" s="100"/>
      <c r="E21" s="100">
        <v>4</v>
      </c>
      <c r="F21" s="100">
        <f>C20*(E21/2)</f>
        <v>22.88</v>
      </c>
    </row>
    <row r="22" spans="1:6" x14ac:dyDescent="0.3">
      <c r="A22" s="229"/>
      <c r="B22" s="229" t="s">
        <v>39</v>
      </c>
      <c r="C22" s="229">
        <v>3</v>
      </c>
      <c r="D22" s="100">
        <v>3.25</v>
      </c>
      <c r="E22" s="100"/>
      <c r="F22" s="100">
        <f>C22*(D22/2)</f>
        <v>4.875</v>
      </c>
    </row>
    <row r="23" spans="1:6" x14ac:dyDescent="0.3">
      <c r="A23" s="229"/>
      <c r="B23" s="229"/>
      <c r="C23" s="229"/>
      <c r="D23" s="100"/>
      <c r="E23" s="100">
        <v>4</v>
      </c>
      <c r="F23" s="100">
        <f>C22*(E23/2)</f>
        <v>6</v>
      </c>
    </row>
    <row r="24" spans="1:6" x14ac:dyDescent="0.3">
      <c r="A24" s="100"/>
      <c r="B24" s="100"/>
      <c r="C24" s="100"/>
      <c r="D24" s="100"/>
      <c r="E24" s="100"/>
      <c r="F24" s="100"/>
    </row>
    <row r="25" spans="1:6" x14ac:dyDescent="0.3">
      <c r="A25" s="229" t="s">
        <v>40</v>
      </c>
      <c r="B25" s="229" t="s">
        <v>38</v>
      </c>
      <c r="C25" s="229">
        <v>11.44</v>
      </c>
      <c r="D25" s="100">
        <v>3.25</v>
      </c>
      <c r="E25" s="100"/>
      <c r="F25" s="101">
        <f>C25*(D25/2)</f>
        <v>18.59</v>
      </c>
    </row>
    <row r="26" spans="1:6" x14ac:dyDescent="0.3">
      <c r="A26" s="229"/>
      <c r="B26" s="229"/>
      <c r="C26" s="229"/>
      <c r="D26" s="100"/>
      <c r="E26" s="100">
        <v>4</v>
      </c>
      <c r="F26" s="100">
        <f>C25*(E26/2)</f>
        <v>22.88</v>
      </c>
    </row>
    <row r="27" spans="1:6" x14ac:dyDescent="0.3">
      <c r="A27" s="229"/>
      <c r="B27" s="229" t="s">
        <v>39</v>
      </c>
      <c r="C27" s="229">
        <v>3</v>
      </c>
      <c r="D27" s="100">
        <v>3.25</v>
      </c>
      <c r="E27" s="100"/>
      <c r="F27" s="100">
        <f>C27*(D27/2)</f>
        <v>4.875</v>
      </c>
    </row>
    <row r="28" spans="1:6" x14ac:dyDescent="0.3">
      <c r="A28" s="229"/>
      <c r="B28" s="229"/>
      <c r="C28" s="229"/>
      <c r="D28" s="100"/>
      <c r="E28" s="100">
        <v>4</v>
      </c>
      <c r="F28" s="100">
        <f>C27*(E28/2)</f>
        <v>6</v>
      </c>
    </row>
    <row r="29" spans="1:6" x14ac:dyDescent="0.3">
      <c r="A29" s="100"/>
      <c r="B29" s="100"/>
      <c r="C29" s="100"/>
      <c r="D29" s="100"/>
      <c r="E29" s="100"/>
      <c r="F29" s="100"/>
    </row>
    <row r="30" spans="1:6" x14ac:dyDescent="0.3">
      <c r="A30" s="229" t="s">
        <v>37</v>
      </c>
      <c r="B30" s="229" t="s">
        <v>38</v>
      </c>
      <c r="C30" s="229">
        <v>11.44</v>
      </c>
      <c r="D30" s="100">
        <v>3.25</v>
      </c>
      <c r="E30" s="100"/>
      <c r="F30" s="101">
        <f>C30*(D30/2)</f>
        <v>18.59</v>
      </c>
    </row>
    <row r="31" spans="1:6" x14ac:dyDescent="0.3">
      <c r="A31" s="229"/>
      <c r="B31" s="229"/>
      <c r="C31" s="229"/>
      <c r="D31" s="100"/>
      <c r="E31" s="100">
        <v>4</v>
      </c>
      <c r="F31" s="100">
        <f>C30*(E31/2)</f>
        <v>22.88</v>
      </c>
    </row>
    <row r="32" spans="1:6" x14ac:dyDescent="0.3">
      <c r="A32" s="229"/>
      <c r="B32" s="229" t="s">
        <v>39</v>
      </c>
      <c r="C32" s="229">
        <v>3</v>
      </c>
      <c r="D32" s="100">
        <v>3.25</v>
      </c>
      <c r="E32" s="100"/>
      <c r="F32" s="100">
        <f>C32*(D32/2)</f>
        <v>4.875</v>
      </c>
    </row>
    <row r="33" spans="1:14" x14ac:dyDescent="0.3">
      <c r="A33" s="229"/>
      <c r="B33" s="229"/>
      <c r="C33" s="229"/>
      <c r="D33" s="100"/>
      <c r="E33" s="100">
        <v>4</v>
      </c>
      <c r="F33" s="100">
        <f>C32*(E33/2)</f>
        <v>6</v>
      </c>
    </row>
    <row r="34" spans="1:14" x14ac:dyDescent="0.3">
      <c r="A34" s="4"/>
      <c r="B34" s="4"/>
      <c r="C34" s="4"/>
      <c r="D34" s="227"/>
      <c r="E34" s="227"/>
      <c r="F34" s="5"/>
      <c r="G34" s="4"/>
    </row>
    <row r="35" spans="1:14" ht="43.2" x14ac:dyDescent="0.3">
      <c r="A35" s="113" t="s">
        <v>22</v>
      </c>
      <c r="B35" s="113" t="s">
        <v>23</v>
      </c>
      <c r="C35" s="114" t="s">
        <v>245</v>
      </c>
      <c r="D35" s="114" t="s">
        <v>24</v>
      </c>
      <c r="E35" s="114" t="s">
        <v>25</v>
      </c>
      <c r="F35" s="114" t="s">
        <v>41</v>
      </c>
      <c r="G35" s="114" t="s">
        <v>27</v>
      </c>
    </row>
    <row r="36" spans="1:14" x14ac:dyDescent="0.3">
      <c r="A36" s="105" t="s">
        <v>33</v>
      </c>
      <c r="B36" s="245" t="s">
        <v>42</v>
      </c>
      <c r="C36" s="105">
        <v>25</v>
      </c>
      <c r="D36" s="105">
        <v>3</v>
      </c>
      <c r="E36" s="105">
        <v>0.4</v>
      </c>
      <c r="F36" s="105">
        <v>0.4</v>
      </c>
      <c r="G36" s="105">
        <f>C36*D36*E36*F36</f>
        <v>12</v>
      </c>
    </row>
    <row r="37" spans="1:14" x14ac:dyDescent="0.3">
      <c r="A37" s="105" t="s">
        <v>36</v>
      </c>
      <c r="B37" s="245"/>
      <c r="C37" s="105">
        <v>25</v>
      </c>
      <c r="D37" s="105">
        <v>3</v>
      </c>
      <c r="E37" s="105">
        <v>0.4</v>
      </c>
      <c r="F37" s="105">
        <v>0.4</v>
      </c>
      <c r="G37" s="105">
        <f t="shared" ref="G37:G38" si="0">C37*D37*E37*F37</f>
        <v>12</v>
      </c>
    </row>
    <row r="38" spans="1:14" x14ac:dyDescent="0.3">
      <c r="A38" s="105" t="s">
        <v>37</v>
      </c>
      <c r="B38" s="245"/>
      <c r="C38" s="105">
        <v>25</v>
      </c>
      <c r="D38" s="105">
        <v>3</v>
      </c>
      <c r="E38" s="105">
        <v>0.4</v>
      </c>
      <c r="F38" s="105">
        <v>0.4</v>
      </c>
      <c r="G38" s="105">
        <f t="shared" si="0"/>
        <v>12</v>
      </c>
    </row>
    <row r="39" spans="1:14" x14ac:dyDescent="0.3">
      <c r="A39" s="105"/>
      <c r="B39" s="105"/>
      <c r="C39" s="105"/>
      <c r="D39" s="105"/>
      <c r="E39" s="105"/>
      <c r="F39" s="105"/>
      <c r="G39" s="105"/>
    </row>
    <row r="40" spans="1:14" x14ac:dyDescent="0.3">
      <c r="A40" s="105"/>
      <c r="B40" s="105"/>
      <c r="C40" s="246" t="s">
        <v>43</v>
      </c>
      <c r="D40" s="246"/>
      <c r="E40" s="246"/>
      <c r="F40" s="105"/>
      <c r="G40" s="106">
        <f>SUM(G7,F10,F11,F13,F14,F16,F17,F20,F21,F22,F23,F25,F26,F27,F28,F30,F31,F32,F33,G36,G37,G38)</f>
        <v>271.20249999999999</v>
      </c>
    </row>
    <row r="41" spans="1:14" x14ac:dyDescent="0.3">
      <c r="A41" s="105"/>
      <c r="B41" s="105"/>
      <c r="C41" s="246" t="s">
        <v>44</v>
      </c>
      <c r="D41" s="246"/>
      <c r="E41" s="246"/>
      <c r="F41" s="105"/>
      <c r="G41" s="107">
        <f>1.5*G40</f>
        <v>406.80374999999998</v>
      </c>
    </row>
    <row r="43" spans="1:14" x14ac:dyDescent="0.3">
      <c r="A43" s="247" t="s">
        <v>45</v>
      </c>
      <c r="B43" s="247"/>
      <c r="C43" s="247"/>
      <c r="D43" s="247"/>
      <c r="E43" s="247"/>
      <c r="F43" s="247"/>
      <c r="G43" s="247"/>
      <c r="H43" s="247"/>
      <c r="I43" s="247"/>
      <c r="J43" s="247"/>
    </row>
    <row r="44" spans="1:14" x14ac:dyDescent="0.3">
      <c r="A44" s="247" t="s">
        <v>250</v>
      </c>
      <c r="B44" s="247"/>
      <c r="C44" s="247"/>
      <c r="D44" s="247"/>
      <c r="E44" s="247"/>
      <c r="F44" s="247"/>
      <c r="G44" s="247"/>
      <c r="H44" s="247"/>
      <c r="I44" s="62"/>
      <c r="J44" s="62"/>
      <c r="L44" s="48" t="s">
        <v>248</v>
      </c>
      <c r="M44" s="48"/>
      <c r="N44" s="48"/>
    </row>
    <row r="45" spans="1:14" ht="28.8" x14ac:dyDescent="0.3">
      <c r="A45" s="1" t="s">
        <v>46</v>
      </c>
      <c r="B45" s="1" t="s">
        <v>47</v>
      </c>
      <c r="C45" s="1" t="s">
        <v>48</v>
      </c>
      <c r="D45" s="54" t="s">
        <v>49</v>
      </c>
      <c r="E45" s="238" t="s">
        <v>50</v>
      </c>
      <c r="F45" s="238"/>
      <c r="G45" s="54" t="s">
        <v>51</v>
      </c>
      <c r="H45" s="54" t="s">
        <v>52</v>
      </c>
      <c r="I45" s="237" t="s">
        <v>6</v>
      </c>
      <c r="J45" s="237"/>
      <c r="L45" s="48" t="s">
        <v>249</v>
      </c>
      <c r="M45" s="48"/>
      <c r="N45" s="48"/>
    </row>
    <row r="46" spans="1:14" x14ac:dyDescent="0.3">
      <c r="A46" s="243">
        <f>G41</f>
        <v>406.80374999999998</v>
      </c>
      <c r="B46" s="237">
        <v>25</v>
      </c>
      <c r="C46" s="237">
        <v>500</v>
      </c>
      <c r="D46" s="244">
        <v>8.0000000000000002E-3</v>
      </c>
      <c r="E46" s="243">
        <f>(A46*1000)/((0.4*B46)+(0.67*C46*D46))</f>
        <v>32082.314668769715</v>
      </c>
      <c r="F46" s="243"/>
      <c r="G46" s="243">
        <f>SQRT(E46)</f>
        <v>179.11536692525775</v>
      </c>
      <c r="H46" s="243">
        <f>SQRT(E46)</f>
        <v>179.11536692525775</v>
      </c>
      <c r="I46" s="238" t="s">
        <v>251</v>
      </c>
      <c r="J46" s="238"/>
    </row>
    <row r="47" spans="1:14" x14ac:dyDescent="0.3">
      <c r="A47" s="243"/>
      <c r="B47" s="237"/>
      <c r="C47" s="237"/>
      <c r="D47" s="244"/>
      <c r="E47" s="243"/>
      <c r="F47" s="243"/>
      <c r="G47" s="243"/>
      <c r="H47" s="243"/>
      <c r="I47" s="238"/>
      <c r="J47" s="238"/>
    </row>
    <row r="48" spans="1:14" x14ac:dyDescent="0.3">
      <c r="A48" s="237" t="s">
        <v>53</v>
      </c>
      <c r="B48" s="238" t="s">
        <v>252</v>
      </c>
      <c r="C48" s="238"/>
      <c r="D48" s="238"/>
      <c r="E48" s="238"/>
      <c r="F48" s="238"/>
      <c r="G48" s="238"/>
      <c r="H48" s="238"/>
      <c r="I48" s="238"/>
      <c r="J48" s="238"/>
    </row>
    <row r="49" spans="1:16" x14ac:dyDescent="0.3">
      <c r="A49" s="237"/>
      <c r="B49" s="238"/>
      <c r="C49" s="238"/>
      <c r="D49" s="238"/>
      <c r="E49" s="238"/>
      <c r="F49" s="238"/>
      <c r="G49" s="238"/>
      <c r="H49" s="238"/>
      <c r="I49" s="238"/>
      <c r="J49" s="238"/>
    </row>
    <row r="50" spans="1:16" x14ac:dyDescent="0.3">
      <c r="A50" s="237"/>
      <c r="B50" s="238"/>
      <c r="C50" s="238"/>
      <c r="D50" s="238"/>
      <c r="E50" s="238"/>
      <c r="F50" s="238"/>
      <c r="G50" s="238"/>
      <c r="H50" s="238"/>
      <c r="I50" s="238"/>
      <c r="J50" s="238"/>
    </row>
    <row r="52" spans="1:16" x14ac:dyDescent="0.3">
      <c r="A52" s="219" t="s">
        <v>54</v>
      </c>
      <c r="B52" s="219"/>
      <c r="C52" s="219"/>
      <c r="D52" s="219"/>
      <c r="E52" s="219"/>
      <c r="F52" s="219"/>
      <c r="G52" s="219"/>
      <c r="H52" s="219"/>
      <c r="I52" s="239"/>
      <c r="J52" s="240"/>
      <c r="K52" s="240"/>
      <c r="L52" s="241"/>
    </row>
    <row r="53" spans="1:16" x14ac:dyDescent="0.3">
      <c r="A53" s="242" t="s">
        <v>55</v>
      </c>
      <c r="B53" s="242"/>
      <c r="C53" s="242" t="s">
        <v>56</v>
      </c>
      <c r="D53" s="242" t="s">
        <v>57</v>
      </c>
      <c r="E53" s="242" t="s">
        <v>253</v>
      </c>
      <c r="F53" s="242"/>
      <c r="G53" s="242" t="s">
        <v>254</v>
      </c>
      <c r="H53" s="242"/>
    </row>
    <row r="54" spans="1:16" ht="50.4" customHeight="1" x14ac:dyDescent="0.3">
      <c r="A54" s="242"/>
      <c r="B54" s="242"/>
      <c r="C54" s="242"/>
      <c r="D54" s="242"/>
      <c r="E54" s="242"/>
      <c r="F54" s="242"/>
      <c r="G54" s="242"/>
      <c r="H54" s="242"/>
    </row>
    <row r="55" spans="1:16" x14ac:dyDescent="0.3">
      <c r="A55" s="235">
        <v>3</v>
      </c>
      <c r="B55" s="235"/>
      <c r="C55" s="235">
        <v>300</v>
      </c>
      <c r="D55" s="235">
        <v>300</v>
      </c>
      <c r="E55" s="235">
        <f>((A55*1000)/500)+(C55/30)</f>
        <v>16</v>
      </c>
      <c r="F55" s="235"/>
      <c r="G55" s="235">
        <v>20</v>
      </c>
      <c r="H55" s="235"/>
    </row>
    <row r="56" spans="1:16" x14ac:dyDescent="0.3">
      <c r="A56" s="235"/>
      <c r="B56" s="235"/>
      <c r="C56" s="235"/>
      <c r="D56" s="235"/>
      <c r="E56" s="235"/>
      <c r="F56" s="235"/>
      <c r="G56" s="235"/>
      <c r="H56" s="235"/>
      <c r="K56" s="48" t="s">
        <v>255</v>
      </c>
      <c r="L56" s="48"/>
      <c r="M56" s="48"/>
      <c r="N56" s="48"/>
      <c r="O56" s="48"/>
    </row>
    <row r="57" spans="1:16" x14ac:dyDescent="0.3">
      <c r="A57" s="108"/>
      <c r="B57" s="59"/>
      <c r="C57" s="235" t="s">
        <v>58</v>
      </c>
      <c r="D57" s="235"/>
      <c r="E57" s="235" t="str">
        <f>IF(E55&gt;G55,"check is ok","re design")</f>
        <v>re design</v>
      </c>
      <c r="F57" s="235"/>
      <c r="G57" s="235"/>
      <c r="H57" s="235"/>
      <c r="K57" s="48" t="s">
        <v>256</v>
      </c>
      <c r="L57" s="48">
        <f xml:space="preserve"> 21</f>
        <v>21</v>
      </c>
      <c r="M57" s="48" t="s">
        <v>257</v>
      </c>
    </row>
    <row r="58" spans="1:16" x14ac:dyDescent="0.3">
      <c r="A58" s="108"/>
      <c r="B58" s="59"/>
      <c r="C58" s="235"/>
      <c r="D58" s="235"/>
      <c r="E58" s="235"/>
      <c r="F58" s="235"/>
      <c r="G58" s="235"/>
      <c r="H58" s="235"/>
    </row>
    <row r="60" spans="1:16" x14ac:dyDescent="0.3">
      <c r="A60" s="236" t="s">
        <v>59</v>
      </c>
      <c r="B60" s="236"/>
      <c r="C60" s="236"/>
      <c r="D60" s="236"/>
      <c r="E60" s="236"/>
      <c r="F60" s="236"/>
      <c r="G60" s="236"/>
      <c r="H60" s="236"/>
      <c r="I60" s="116"/>
      <c r="J60" s="116"/>
      <c r="K60" s="116"/>
    </row>
    <row r="61" spans="1:16" x14ac:dyDescent="0.3">
      <c r="A61" s="229" t="s">
        <v>46</v>
      </c>
      <c r="B61" s="229" t="s">
        <v>47</v>
      </c>
      <c r="C61" s="229" t="s">
        <v>48</v>
      </c>
      <c r="D61" s="228" t="s">
        <v>56</v>
      </c>
      <c r="E61" s="228" t="s">
        <v>57</v>
      </c>
      <c r="F61" s="228" t="s">
        <v>50</v>
      </c>
      <c r="G61" s="228"/>
      <c r="H61" s="228" t="s">
        <v>60</v>
      </c>
      <c r="I61" s="228" t="s">
        <v>49</v>
      </c>
      <c r="J61" s="229" t="s">
        <v>61</v>
      </c>
      <c r="K61" s="229"/>
      <c r="M61" s="48" t="s">
        <v>258</v>
      </c>
      <c r="N61" s="48"/>
      <c r="O61" s="48"/>
      <c r="P61" s="48"/>
    </row>
    <row r="62" spans="1:16" x14ac:dyDescent="0.3">
      <c r="A62" s="229"/>
      <c r="B62" s="229"/>
      <c r="C62" s="229"/>
      <c r="D62" s="228"/>
      <c r="E62" s="228"/>
      <c r="F62" s="228"/>
      <c r="G62" s="228"/>
      <c r="H62" s="228"/>
      <c r="I62" s="228"/>
      <c r="J62" s="229"/>
      <c r="K62" s="229"/>
      <c r="M62" s="48" t="s">
        <v>259</v>
      </c>
      <c r="N62" s="48"/>
      <c r="O62" s="48"/>
      <c r="P62" s="48"/>
    </row>
    <row r="63" spans="1:16" x14ac:dyDescent="0.3">
      <c r="A63" s="234">
        <f>G41</f>
        <v>406.80374999999998</v>
      </c>
      <c r="B63" s="229">
        <f>B46</f>
        <v>25</v>
      </c>
      <c r="C63" s="229">
        <f>C46</f>
        <v>500</v>
      </c>
      <c r="D63" s="229">
        <v>450</v>
      </c>
      <c r="E63" s="229">
        <v>450</v>
      </c>
      <c r="F63" s="229">
        <f>D63*E63</f>
        <v>202500</v>
      </c>
      <c r="G63" s="229"/>
      <c r="H63" s="229">
        <f>F63-I63</f>
        <v>200880</v>
      </c>
      <c r="I63" s="229">
        <f>D46*F63</f>
        <v>1620</v>
      </c>
      <c r="J63" s="229" t="s">
        <v>265</v>
      </c>
      <c r="K63" s="229"/>
    </row>
    <row r="64" spans="1:16" x14ac:dyDescent="0.3">
      <c r="A64" s="234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M64" s="48" t="s">
        <v>266</v>
      </c>
      <c r="N64" s="48">
        <f>314.16*8</f>
        <v>2513.2800000000002</v>
      </c>
    </row>
    <row r="66" spans="1:12" x14ac:dyDescent="0.3">
      <c r="A66" s="216" t="s">
        <v>62</v>
      </c>
      <c r="B66" s="216"/>
      <c r="C66" s="216"/>
      <c r="D66" s="216"/>
      <c r="E66" s="216"/>
      <c r="F66" s="216"/>
      <c r="G66" s="216"/>
      <c r="J66" s="48" t="s">
        <v>260</v>
      </c>
      <c r="K66" s="48"/>
      <c r="L66" s="48"/>
    </row>
    <row r="67" spans="1:12" x14ac:dyDescent="0.3">
      <c r="A67" s="217" t="s">
        <v>63</v>
      </c>
      <c r="B67" s="216" t="s">
        <v>64</v>
      </c>
      <c r="C67" s="216"/>
      <c r="D67" s="216"/>
      <c r="E67" s="216" t="s">
        <v>53</v>
      </c>
      <c r="F67" s="216" t="s">
        <v>65</v>
      </c>
      <c r="G67" s="216"/>
      <c r="J67" s="48" t="s">
        <v>261</v>
      </c>
      <c r="K67" s="48"/>
      <c r="L67" s="48"/>
    </row>
    <row r="68" spans="1:12" x14ac:dyDescent="0.3">
      <c r="A68" s="217"/>
      <c r="B68" s="102">
        <v>1</v>
      </c>
      <c r="C68" s="102">
        <v>2</v>
      </c>
      <c r="D68" s="102">
        <v>3</v>
      </c>
      <c r="E68" s="216"/>
      <c r="F68" s="216"/>
      <c r="G68" s="216"/>
    </row>
    <row r="69" spans="1:12" x14ac:dyDescent="0.3">
      <c r="A69" s="232">
        <v>6</v>
      </c>
      <c r="B69" s="232">
        <f>D63</f>
        <v>450</v>
      </c>
      <c r="C69" s="232">
        <f>16*20</f>
        <v>320</v>
      </c>
      <c r="D69" s="232">
        <v>300</v>
      </c>
      <c r="E69" s="233" t="s">
        <v>262</v>
      </c>
      <c r="F69" s="233" t="s">
        <v>263</v>
      </c>
      <c r="G69" s="233"/>
    </row>
    <row r="70" spans="1:12" x14ac:dyDescent="0.3">
      <c r="A70" s="232"/>
      <c r="B70" s="232"/>
      <c r="C70" s="232"/>
      <c r="D70" s="232"/>
      <c r="E70" s="233"/>
      <c r="F70" s="233"/>
      <c r="G70" s="233"/>
    </row>
    <row r="71" spans="1:12" ht="34.200000000000003" customHeight="1" x14ac:dyDescent="0.3">
      <c r="A71" s="122"/>
      <c r="B71" s="122"/>
      <c r="C71" s="103"/>
      <c r="D71" s="122"/>
      <c r="E71" s="233"/>
      <c r="F71" s="233"/>
      <c r="G71" s="233"/>
    </row>
    <row r="73" spans="1:12" x14ac:dyDescent="0.3">
      <c r="A73" s="231" t="s">
        <v>20</v>
      </c>
      <c r="B73" s="231"/>
      <c r="C73" s="231"/>
      <c r="D73" s="63"/>
      <c r="E73" s="63"/>
      <c r="F73" s="64"/>
    </row>
    <row r="74" spans="1:12" x14ac:dyDescent="0.3">
      <c r="A74" s="231" t="s">
        <v>270</v>
      </c>
      <c r="B74" s="231"/>
      <c r="C74" s="231"/>
      <c r="D74" s="231"/>
      <c r="E74" s="64"/>
      <c r="F74" s="64"/>
    </row>
    <row r="75" spans="1:12" x14ac:dyDescent="0.3">
      <c r="A75" s="231" t="s">
        <v>21</v>
      </c>
      <c r="B75" s="231"/>
      <c r="C75" s="231"/>
      <c r="D75" s="63"/>
      <c r="E75" s="64"/>
      <c r="F75" s="64"/>
    </row>
    <row r="76" spans="1:12" x14ac:dyDescent="0.3">
      <c r="A76" s="4"/>
      <c r="B76" s="4"/>
      <c r="C76" s="4"/>
      <c r="D76" s="4"/>
      <c r="E76" s="4"/>
      <c r="F76" s="4"/>
    </row>
    <row r="77" spans="1:12" ht="43.2" x14ac:dyDescent="0.3">
      <c r="A77" s="111" t="s">
        <v>22</v>
      </c>
      <c r="B77" s="111" t="s">
        <v>23</v>
      </c>
      <c r="C77" s="121" t="s">
        <v>246</v>
      </c>
      <c r="D77" s="121" t="s">
        <v>31</v>
      </c>
      <c r="E77" s="121" t="s">
        <v>32</v>
      </c>
      <c r="F77" s="121" t="s">
        <v>66</v>
      </c>
    </row>
    <row r="78" spans="1:12" x14ac:dyDescent="0.3">
      <c r="A78" s="60" t="s">
        <v>33</v>
      </c>
      <c r="B78" s="60" t="s">
        <v>34</v>
      </c>
      <c r="C78" s="60">
        <f>3.53</f>
        <v>3.53</v>
      </c>
      <c r="D78" s="60">
        <v>3.25</v>
      </c>
      <c r="E78" s="60">
        <v>4</v>
      </c>
      <c r="F78" s="60">
        <f>C78*D78*E78</f>
        <v>45.89</v>
      </c>
    </row>
    <row r="79" spans="1:12" x14ac:dyDescent="0.3">
      <c r="A79" s="60"/>
      <c r="B79" s="60" t="s">
        <v>35</v>
      </c>
      <c r="C79" s="60">
        <v>3</v>
      </c>
      <c r="D79" s="60">
        <v>3.25</v>
      </c>
      <c r="E79" s="60">
        <v>4</v>
      </c>
      <c r="F79" s="60">
        <f>C79*D79*E79</f>
        <v>39</v>
      </c>
    </row>
    <row r="80" spans="1:12" x14ac:dyDescent="0.3">
      <c r="A80" s="60"/>
      <c r="B80" s="60"/>
      <c r="C80" s="60"/>
      <c r="D80" s="60"/>
      <c r="E80" s="60"/>
      <c r="F80" s="60"/>
    </row>
    <row r="81" spans="1:6" x14ac:dyDescent="0.3">
      <c r="A81" s="222" t="s">
        <v>36</v>
      </c>
      <c r="B81" s="60" t="s">
        <v>34</v>
      </c>
      <c r="C81" s="60">
        <f>C78</f>
        <v>3.53</v>
      </c>
      <c r="D81" s="60">
        <v>3.25</v>
      </c>
      <c r="E81" s="60">
        <v>4</v>
      </c>
      <c r="F81" s="60">
        <f t="shared" ref="F81:F85" si="1">C81*D81*E81</f>
        <v>45.89</v>
      </c>
    </row>
    <row r="82" spans="1:6" x14ac:dyDescent="0.3">
      <c r="A82" s="222"/>
      <c r="B82" s="60" t="s">
        <v>35</v>
      </c>
      <c r="C82" s="60">
        <v>3</v>
      </c>
      <c r="D82" s="60">
        <v>3.25</v>
      </c>
      <c r="E82" s="60">
        <v>4</v>
      </c>
      <c r="F82" s="60">
        <f t="shared" si="1"/>
        <v>39</v>
      </c>
    </row>
    <row r="83" spans="1:6" x14ac:dyDescent="0.3">
      <c r="A83" s="60"/>
      <c r="B83" s="60"/>
      <c r="C83" s="60"/>
      <c r="D83" s="60"/>
      <c r="E83" s="60"/>
      <c r="F83" s="60"/>
    </row>
    <row r="84" spans="1:6" x14ac:dyDescent="0.3">
      <c r="A84" s="222" t="s">
        <v>36</v>
      </c>
      <c r="B84" s="60" t="s">
        <v>34</v>
      </c>
      <c r="C84" s="60">
        <f>C78</f>
        <v>3.53</v>
      </c>
      <c r="D84" s="60">
        <v>3.25</v>
      </c>
      <c r="E84" s="60">
        <v>4</v>
      </c>
      <c r="F84" s="60">
        <f t="shared" si="1"/>
        <v>45.89</v>
      </c>
    </row>
    <row r="85" spans="1:6" x14ac:dyDescent="0.3">
      <c r="A85" s="222"/>
      <c r="B85" s="60" t="s">
        <v>35</v>
      </c>
      <c r="C85" s="60">
        <v>3</v>
      </c>
      <c r="D85" s="60">
        <v>3.25</v>
      </c>
      <c r="E85" s="60">
        <v>4</v>
      </c>
      <c r="F85" s="60">
        <f t="shared" si="1"/>
        <v>39</v>
      </c>
    </row>
    <row r="86" spans="1:6" x14ac:dyDescent="0.3">
      <c r="A86" s="9"/>
      <c r="B86" s="9"/>
      <c r="C86" s="9"/>
      <c r="D86" s="9"/>
      <c r="E86" s="9"/>
      <c r="F86" s="9"/>
    </row>
    <row r="87" spans="1:6" ht="43.2" x14ac:dyDescent="0.3">
      <c r="A87" s="57" t="s">
        <v>22</v>
      </c>
      <c r="B87" s="57" t="s">
        <v>23</v>
      </c>
      <c r="C87" s="58" t="s">
        <v>97</v>
      </c>
      <c r="D87" s="58" t="s">
        <v>31</v>
      </c>
      <c r="E87" s="58" t="s">
        <v>32</v>
      </c>
      <c r="F87" s="58" t="s">
        <v>66</v>
      </c>
    </row>
    <row r="88" spans="1:6" x14ac:dyDescent="0.3">
      <c r="A88" s="223" t="s">
        <v>33</v>
      </c>
      <c r="B88" s="223" t="s">
        <v>38</v>
      </c>
      <c r="C88" s="223">
        <v>11.44</v>
      </c>
      <c r="D88" s="110">
        <v>3.25</v>
      </c>
      <c r="E88" s="110">
        <v>0</v>
      </c>
      <c r="F88" s="110">
        <f>C88*D88</f>
        <v>37.18</v>
      </c>
    </row>
    <row r="89" spans="1:6" x14ac:dyDescent="0.3">
      <c r="A89" s="223"/>
      <c r="B89" s="223"/>
      <c r="C89" s="223"/>
      <c r="D89" s="110"/>
      <c r="E89" s="110">
        <v>4</v>
      </c>
      <c r="F89" s="110">
        <f>C88*E89</f>
        <v>45.76</v>
      </c>
    </row>
    <row r="90" spans="1:6" x14ac:dyDescent="0.3">
      <c r="A90" s="223"/>
      <c r="B90" s="223" t="s">
        <v>39</v>
      </c>
      <c r="C90" s="223">
        <v>3</v>
      </c>
      <c r="D90" s="110">
        <v>3.25</v>
      </c>
      <c r="E90" s="110"/>
      <c r="F90" s="110">
        <f>C90*D90</f>
        <v>9.75</v>
      </c>
    </row>
    <row r="91" spans="1:6" x14ac:dyDescent="0.3">
      <c r="A91" s="223"/>
      <c r="B91" s="223"/>
      <c r="C91" s="223"/>
      <c r="D91" s="110"/>
      <c r="E91" s="110">
        <v>4</v>
      </c>
      <c r="F91" s="110">
        <f>C90*E91</f>
        <v>12</v>
      </c>
    </row>
    <row r="92" spans="1:6" x14ac:dyDescent="0.3">
      <c r="A92" s="110"/>
      <c r="B92" s="110"/>
      <c r="C92" s="110"/>
      <c r="D92" s="110"/>
      <c r="E92" s="110"/>
      <c r="F92" s="110"/>
    </row>
    <row r="93" spans="1:6" x14ac:dyDescent="0.3">
      <c r="A93" s="223" t="s">
        <v>40</v>
      </c>
      <c r="B93" s="223" t="s">
        <v>38</v>
      </c>
      <c r="C93" s="223">
        <v>11.44</v>
      </c>
      <c r="D93" s="110">
        <v>3.25</v>
      </c>
      <c r="E93" s="110">
        <v>0</v>
      </c>
      <c r="F93" s="110">
        <f>C93*D93</f>
        <v>37.18</v>
      </c>
    </row>
    <row r="94" spans="1:6" x14ac:dyDescent="0.3">
      <c r="A94" s="223"/>
      <c r="B94" s="223"/>
      <c r="C94" s="223"/>
      <c r="D94" s="110"/>
      <c r="E94" s="110">
        <v>4</v>
      </c>
      <c r="F94" s="110">
        <f>C93*E94</f>
        <v>45.76</v>
      </c>
    </row>
    <row r="95" spans="1:6" x14ac:dyDescent="0.3">
      <c r="A95" s="223"/>
      <c r="B95" s="223" t="s">
        <v>39</v>
      </c>
      <c r="C95" s="223">
        <v>3</v>
      </c>
      <c r="D95" s="110">
        <v>3.25</v>
      </c>
      <c r="E95" s="110"/>
      <c r="F95" s="110">
        <f>C95*D95</f>
        <v>9.75</v>
      </c>
    </row>
    <row r="96" spans="1:6" x14ac:dyDescent="0.3">
      <c r="A96" s="223"/>
      <c r="B96" s="223"/>
      <c r="C96" s="223"/>
      <c r="D96" s="110"/>
      <c r="E96" s="110">
        <v>4</v>
      </c>
      <c r="F96" s="110">
        <f>C95*E96</f>
        <v>12</v>
      </c>
    </row>
    <row r="97" spans="1:10" x14ac:dyDescent="0.3">
      <c r="A97" s="110"/>
      <c r="B97" s="110"/>
      <c r="C97" s="110"/>
      <c r="D97" s="110"/>
      <c r="E97" s="110"/>
      <c r="F97" s="110"/>
    </row>
    <row r="98" spans="1:10" x14ac:dyDescent="0.3">
      <c r="A98" s="223" t="s">
        <v>40</v>
      </c>
      <c r="B98" s="223" t="s">
        <v>38</v>
      </c>
      <c r="C98" s="223">
        <v>11.44</v>
      </c>
      <c r="D98" s="110">
        <v>3.25</v>
      </c>
      <c r="E98" s="110">
        <v>0</v>
      </c>
      <c r="F98" s="110">
        <f>C98*D98</f>
        <v>37.18</v>
      </c>
    </row>
    <row r="99" spans="1:10" x14ac:dyDescent="0.3">
      <c r="A99" s="223"/>
      <c r="B99" s="223"/>
      <c r="C99" s="223"/>
      <c r="D99" s="110"/>
      <c r="E99" s="110">
        <v>4</v>
      </c>
      <c r="F99" s="110">
        <f>C98*E99</f>
        <v>45.76</v>
      </c>
    </row>
    <row r="100" spans="1:10" x14ac:dyDescent="0.3">
      <c r="A100" s="223"/>
      <c r="B100" s="223" t="s">
        <v>39</v>
      </c>
      <c r="C100" s="223">
        <v>3</v>
      </c>
      <c r="D100" s="110">
        <v>3.25</v>
      </c>
      <c r="E100" s="110"/>
      <c r="F100" s="110">
        <f>D100*C100</f>
        <v>9.75</v>
      </c>
    </row>
    <row r="101" spans="1:10" x14ac:dyDescent="0.3">
      <c r="A101" s="223"/>
      <c r="B101" s="223"/>
      <c r="C101" s="223"/>
      <c r="D101" s="110"/>
      <c r="E101" s="110">
        <v>4</v>
      </c>
      <c r="F101" s="110">
        <f>C100*E101</f>
        <v>12</v>
      </c>
    </row>
    <row r="102" spans="1:10" x14ac:dyDescent="0.3">
      <c r="A102" s="4"/>
      <c r="B102" s="4"/>
      <c r="C102" s="4"/>
      <c r="D102" s="227"/>
      <c r="E102" s="227"/>
      <c r="F102" s="9"/>
    </row>
    <row r="103" spans="1:10" ht="43.2" x14ac:dyDescent="0.3">
      <c r="A103" s="55" t="s">
        <v>22</v>
      </c>
      <c r="B103" s="55" t="s">
        <v>23</v>
      </c>
      <c r="C103" s="56" t="s">
        <v>245</v>
      </c>
      <c r="D103" s="56" t="s">
        <v>24</v>
      </c>
      <c r="E103" s="56" t="s">
        <v>25</v>
      </c>
      <c r="F103" s="56" t="s">
        <v>41</v>
      </c>
      <c r="G103" s="55"/>
    </row>
    <row r="104" spans="1:10" x14ac:dyDescent="0.3">
      <c r="A104" s="100" t="s">
        <v>33</v>
      </c>
      <c r="B104" s="228" t="s">
        <v>42</v>
      </c>
      <c r="C104" s="100">
        <v>25</v>
      </c>
      <c r="D104" s="100">
        <v>3</v>
      </c>
      <c r="E104" s="100">
        <v>0.4</v>
      </c>
      <c r="F104" s="100">
        <v>0.4</v>
      </c>
      <c r="G104" s="100">
        <f>C104*D104*E104*F104</f>
        <v>12</v>
      </c>
    </row>
    <row r="105" spans="1:10" x14ac:dyDescent="0.3">
      <c r="A105" s="100" t="s">
        <v>36</v>
      </c>
      <c r="B105" s="228"/>
      <c r="C105" s="100">
        <v>25</v>
      </c>
      <c r="D105" s="100">
        <v>3</v>
      </c>
      <c r="E105" s="100">
        <v>0.4</v>
      </c>
      <c r="F105" s="100">
        <v>0.4</v>
      </c>
      <c r="G105" s="100">
        <f t="shared" ref="G105:G106" si="2">C105*D105*E105*F105</f>
        <v>12</v>
      </c>
    </row>
    <row r="106" spans="1:10" x14ac:dyDescent="0.3">
      <c r="A106" s="100" t="s">
        <v>37</v>
      </c>
      <c r="B106" s="228"/>
      <c r="C106" s="100">
        <v>25</v>
      </c>
      <c r="D106" s="100">
        <v>3</v>
      </c>
      <c r="E106" s="100">
        <v>0.4</v>
      </c>
      <c r="F106" s="100">
        <v>0.4</v>
      </c>
      <c r="G106" s="100">
        <f t="shared" si="2"/>
        <v>12</v>
      </c>
    </row>
    <row r="107" spans="1:10" x14ac:dyDescent="0.3">
      <c r="A107" s="100"/>
      <c r="B107" s="100"/>
      <c r="C107" s="100"/>
      <c r="D107" s="100"/>
      <c r="E107" s="100"/>
      <c r="F107" s="100"/>
      <c r="G107" s="100"/>
    </row>
    <row r="108" spans="1:10" x14ac:dyDescent="0.3">
      <c r="A108" s="100"/>
      <c r="B108" s="100"/>
      <c r="C108" s="229" t="s">
        <v>43</v>
      </c>
      <c r="D108" s="229"/>
      <c r="E108" s="229"/>
      <c r="F108" s="100"/>
      <c r="G108" s="120">
        <f>SUM(F78,F79,F81,F82,F84,F85,F88,F89,F90,F91,F93,F94,F95,F96,F98,F99,F100,F101,G104,G105,G106)</f>
        <v>604.74</v>
      </c>
    </row>
    <row r="109" spans="1:10" x14ac:dyDescent="0.3">
      <c r="A109" s="100"/>
      <c r="B109" s="100"/>
      <c r="C109" s="229" t="s">
        <v>44</v>
      </c>
      <c r="D109" s="229"/>
      <c r="E109" s="229"/>
      <c r="F109" s="100"/>
      <c r="G109" s="120">
        <f>1.5*G108</f>
        <v>907.11</v>
      </c>
    </row>
    <row r="111" spans="1:10" x14ac:dyDescent="0.3">
      <c r="A111" s="230" t="s">
        <v>67</v>
      </c>
      <c r="B111" s="230"/>
      <c r="C111" s="230"/>
      <c r="D111" s="230"/>
      <c r="E111" s="230"/>
      <c r="F111" s="230"/>
      <c r="G111" s="230"/>
      <c r="H111" s="230"/>
      <c r="I111" s="119"/>
      <c r="J111" s="119"/>
    </row>
    <row r="112" spans="1:10" x14ac:dyDescent="0.3">
      <c r="A112" s="230" t="s">
        <v>264</v>
      </c>
      <c r="B112" s="230"/>
      <c r="C112" s="230"/>
      <c r="D112" s="230"/>
      <c r="E112" s="230"/>
      <c r="F112" s="230"/>
      <c r="G112" s="119"/>
      <c r="H112" s="119"/>
      <c r="I112" s="119"/>
      <c r="J112" s="119"/>
    </row>
    <row r="113" spans="1:16" ht="28.8" x14ac:dyDescent="0.3">
      <c r="A113" s="117" t="s">
        <v>46</v>
      </c>
      <c r="B113" s="117" t="s">
        <v>47</v>
      </c>
      <c r="C113" s="117" t="s">
        <v>48</v>
      </c>
      <c r="D113" s="118" t="s">
        <v>49</v>
      </c>
      <c r="E113" s="221" t="s">
        <v>50</v>
      </c>
      <c r="F113" s="221"/>
      <c r="G113" s="118" t="s">
        <v>51</v>
      </c>
      <c r="H113" s="118" t="s">
        <v>57</v>
      </c>
      <c r="I113" s="224" t="s">
        <v>6</v>
      </c>
      <c r="J113" s="224"/>
      <c r="L113" s="48" t="s">
        <v>248</v>
      </c>
      <c r="M113" s="48"/>
      <c r="N113" s="48"/>
    </row>
    <row r="114" spans="1:16" x14ac:dyDescent="0.3">
      <c r="A114" s="225">
        <f>G109</f>
        <v>907.11</v>
      </c>
      <c r="B114" s="224">
        <v>25</v>
      </c>
      <c r="C114" s="224">
        <v>500</v>
      </c>
      <c r="D114" s="226">
        <v>0.01</v>
      </c>
      <c r="E114" s="225">
        <f>(A114*1000)/((0.4*B114)+(0.67*C114*D114))</f>
        <v>67948.31460674158</v>
      </c>
      <c r="F114" s="225"/>
      <c r="G114" s="225">
        <f>SQRT(E114)</f>
        <v>260.66897515189947</v>
      </c>
      <c r="H114" s="225">
        <f>SQRT(E114)</f>
        <v>260.66897515189947</v>
      </c>
      <c r="I114" s="221" t="s">
        <v>251</v>
      </c>
      <c r="J114" s="221"/>
      <c r="L114" s="48" t="s">
        <v>249</v>
      </c>
      <c r="M114" s="48"/>
      <c r="N114" s="48"/>
    </row>
    <row r="115" spans="1:16" x14ac:dyDescent="0.3">
      <c r="A115" s="225"/>
      <c r="B115" s="224"/>
      <c r="C115" s="224"/>
      <c r="D115" s="226"/>
      <c r="E115" s="225"/>
      <c r="F115" s="225"/>
      <c r="G115" s="225"/>
      <c r="H115" s="225"/>
      <c r="I115" s="221"/>
      <c r="J115" s="221"/>
    </row>
    <row r="116" spans="1:16" x14ac:dyDescent="0.3">
      <c r="A116" s="224" t="s">
        <v>53</v>
      </c>
      <c r="B116" s="221" t="s">
        <v>252</v>
      </c>
      <c r="C116" s="221"/>
      <c r="D116" s="221"/>
      <c r="E116" s="221"/>
      <c r="F116" s="221"/>
      <c r="G116" s="221"/>
      <c r="H116" s="221"/>
      <c r="I116" s="221"/>
      <c r="J116" s="221"/>
    </row>
    <row r="117" spans="1:16" x14ac:dyDescent="0.3">
      <c r="A117" s="224"/>
      <c r="B117" s="221"/>
      <c r="C117" s="221"/>
      <c r="D117" s="221"/>
      <c r="E117" s="221"/>
      <c r="F117" s="221"/>
      <c r="G117" s="221"/>
      <c r="H117" s="221"/>
      <c r="I117" s="221"/>
      <c r="J117" s="221"/>
    </row>
    <row r="119" spans="1:16" x14ac:dyDescent="0.3">
      <c r="A119" s="219" t="s">
        <v>54</v>
      </c>
      <c r="B119" s="219"/>
      <c r="C119" s="219"/>
      <c r="D119" s="219"/>
      <c r="E119" s="219"/>
      <c r="F119" s="219"/>
      <c r="G119" s="219"/>
      <c r="H119" s="219"/>
    </row>
    <row r="120" spans="1:16" x14ac:dyDescent="0.3">
      <c r="A120" s="220" t="s">
        <v>55</v>
      </c>
      <c r="B120" s="220"/>
      <c r="C120" s="220" t="s">
        <v>56</v>
      </c>
      <c r="D120" s="220" t="s">
        <v>57</v>
      </c>
      <c r="E120" s="220" t="s">
        <v>253</v>
      </c>
      <c r="F120" s="220"/>
      <c r="G120" s="220" t="s">
        <v>254</v>
      </c>
      <c r="H120" s="220"/>
    </row>
    <row r="121" spans="1:16" ht="39.6" customHeight="1" x14ac:dyDescent="0.3">
      <c r="A121" s="220"/>
      <c r="B121" s="220"/>
      <c r="C121" s="220"/>
      <c r="D121" s="220"/>
      <c r="E121" s="220"/>
      <c r="F121" s="220"/>
      <c r="G121" s="220"/>
      <c r="H121" s="220"/>
      <c r="K121" s="48" t="s">
        <v>255</v>
      </c>
      <c r="L121" s="48"/>
      <c r="M121" s="48"/>
      <c r="N121" s="48"/>
      <c r="O121" s="48"/>
    </row>
    <row r="122" spans="1:16" x14ac:dyDescent="0.3">
      <c r="A122" s="223">
        <v>3</v>
      </c>
      <c r="B122" s="223"/>
      <c r="C122" s="223">
        <v>300</v>
      </c>
      <c r="D122" s="223">
        <v>300</v>
      </c>
      <c r="E122" s="223">
        <f>((A122*1000)/500)+(C122/30)</f>
        <v>16</v>
      </c>
      <c r="F122" s="223"/>
      <c r="G122" s="223">
        <v>20</v>
      </c>
      <c r="H122" s="223"/>
      <c r="K122" s="48" t="s">
        <v>256</v>
      </c>
      <c r="L122" s="48">
        <f xml:space="preserve"> 21</f>
        <v>21</v>
      </c>
      <c r="M122" s="48" t="s">
        <v>257</v>
      </c>
      <c r="N122" s="48"/>
      <c r="O122" s="48"/>
    </row>
    <row r="123" spans="1:16" x14ac:dyDescent="0.3">
      <c r="A123" s="223"/>
      <c r="B123" s="223"/>
      <c r="C123" s="223"/>
      <c r="D123" s="223"/>
      <c r="E123" s="223"/>
      <c r="F123" s="223"/>
      <c r="G123" s="223"/>
      <c r="H123" s="223"/>
    </row>
    <row r="124" spans="1:16" x14ac:dyDescent="0.3">
      <c r="A124" s="109"/>
      <c r="B124" s="110"/>
      <c r="C124" s="223" t="s">
        <v>58</v>
      </c>
      <c r="D124" s="223"/>
      <c r="E124" s="223" t="str">
        <f>IF(E122&gt;G122,"check is ok","re design")</f>
        <v>re design</v>
      </c>
      <c r="F124" s="223"/>
      <c r="G124" s="223"/>
      <c r="H124" s="223"/>
    </row>
    <row r="125" spans="1:16" x14ac:dyDescent="0.3">
      <c r="A125" s="109"/>
      <c r="B125" s="110"/>
      <c r="C125" s="223"/>
      <c r="D125" s="223"/>
      <c r="E125" s="223"/>
      <c r="F125" s="223"/>
      <c r="G125" s="223"/>
      <c r="H125" s="223"/>
    </row>
    <row r="127" spans="1:16" x14ac:dyDescent="0.3">
      <c r="A127" s="222" t="s">
        <v>59</v>
      </c>
      <c r="B127" s="222"/>
      <c r="C127" s="222"/>
      <c r="D127" s="222"/>
      <c r="E127" s="222"/>
      <c r="F127" s="222"/>
      <c r="G127" s="222"/>
      <c r="H127" s="222"/>
      <c r="I127" s="60"/>
      <c r="J127" s="60"/>
      <c r="K127" s="60"/>
    </row>
    <row r="128" spans="1:16" x14ac:dyDescent="0.3">
      <c r="A128" s="214" t="s">
        <v>46</v>
      </c>
      <c r="B128" s="214" t="s">
        <v>47</v>
      </c>
      <c r="C128" s="214" t="s">
        <v>48</v>
      </c>
      <c r="D128" s="215" t="s">
        <v>56</v>
      </c>
      <c r="E128" s="215" t="s">
        <v>57</v>
      </c>
      <c r="F128" s="215" t="s">
        <v>50</v>
      </c>
      <c r="G128" s="215"/>
      <c r="H128" s="215" t="s">
        <v>60</v>
      </c>
      <c r="I128" s="215" t="s">
        <v>49</v>
      </c>
      <c r="J128" s="214" t="s">
        <v>61</v>
      </c>
      <c r="K128" s="214"/>
      <c r="M128" s="48" t="s">
        <v>258</v>
      </c>
      <c r="N128" s="48"/>
      <c r="O128" s="48"/>
      <c r="P128" s="48"/>
    </row>
    <row r="129" spans="1:16" x14ac:dyDescent="0.3">
      <c r="A129" s="214"/>
      <c r="B129" s="214"/>
      <c r="C129" s="214"/>
      <c r="D129" s="215"/>
      <c r="E129" s="215"/>
      <c r="F129" s="215"/>
      <c r="G129" s="215"/>
      <c r="H129" s="215"/>
      <c r="I129" s="215"/>
      <c r="J129" s="214"/>
      <c r="K129" s="214"/>
      <c r="M129" s="48" t="s">
        <v>259</v>
      </c>
      <c r="N129" s="48"/>
      <c r="O129" s="48"/>
      <c r="P129" s="48"/>
    </row>
    <row r="130" spans="1:16" x14ac:dyDescent="0.3">
      <c r="A130" s="218">
        <f>G109</f>
        <v>907.11</v>
      </c>
      <c r="B130" s="214">
        <f>B114</f>
        <v>25</v>
      </c>
      <c r="C130" s="214">
        <f>C114</f>
        <v>500</v>
      </c>
      <c r="D130" s="214">
        <v>450</v>
      </c>
      <c r="E130" s="214">
        <v>450</v>
      </c>
      <c r="F130" s="214">
        <f>D130*E130</f>
        <v>202500</v>
      </c>
      <c r="G130" s="214"/>
      <c r="H130" s="214">
        <f>F130-I130</f>
        <v>200475</v>
      </c>
      <c r="I130" s="214">
        <f>F130*D114</f>
        <v>2025</v>
      </c>
      <c r="J130" s="214" t="s">
        <v>265</v>
      </c>
      <c r="K130" s="214"/>
    </row>
    <row r="131" spans="1:16" x14ac:dyDescent="0.3">
      <c r="A131" s="218"/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M131" s="48" t="s">
        <v>266</v>
      </c>
      <c r="N131" s="48">
        <f>314.16*8</f>
        <v>2513.2800000000002</v>
      </c>
    </row>
    <row r="133" spans="1:16" x14ac:dyDescent="0.3">
      <c r="A133" s="216" t="s">
        <v>62</v>
      </c>
      <c r="B133" s="216"/>
      <c r="C133" s="216"/>
      <c r="D133" s="216"/>
      <c r="E133" s="216"/>
      <c r="F133" s="216"/>
      <c r="G133" s="216"/>
      <c r="J133" s="48" t="s">
        <v>268</v>
      </c>
      <c r="K133" s="48"/>
      <c r="L133" s="48"/>
      <c r="M133" s="48"/>
    </row>
    <row r="134" spans="1:16" x14ac:dyDescent="0.3">
      <c r="A134" s="217" t="s">
        <v>63</v>
      </c>
      <c r="B134" s="216" t="s">
        <v>64</v>
      </c>
      <c r="C134" s="216"/>
      <c r="D134" s="216"/>
      <c r="E134" s="216" t="s">
        <v>53</v>
      </c>
      <c r="F134" s="216" t="s">
        <v>65</v>
      </c>
      <c r="G134" s="216"/>
      <c r="J134" s="48" t="s">
        <v>267</v>
      </c>
      <c r="K134" s="48"/>
      <c r="L134" s="48"/>
    </row>
    <row r="135" spans="1:16" x14ac:dyDescent="0.3">
      <c r="A135" s="217"/>
      <c r="B135" s="102">
        <v>1</v>
      </c>
      <c r="C135" s="102">
        <v>2</v>
      </c>
      <c r="D135" s="102">
        <v>3</v>
      </c>
      <c r="E135" s="216"/>
      <c r="F135" s="216"/>
      <c r="G135" s="216"/>
    </row>
    <row r="136" spans="1:16" x14ac:dyDescent="0.3">
      <c r="A136" s="214">
        <v>6</v>
      </c>
      <c r="B136" s="214">
        <f>D130</f>
        <v>450</v>
      </c>
      <c r="C136" s="214">
        <f>16*20</f>
        <v>320</v>
      </c>
      <c r="D136" s="214">
        <v>300</v>
      </c>
      <c r="E136" s="215" t="s">
        <v>262</v>
      </c>
      <c r="F136" s="215" t="s">
        <v>263</v>
      </c>
      <c r="G136" s="215"/>
    </row>
    <row r="137" spans="1:16" x14ac:dyDescent="0.3">
      <c r="A137" s="214"/>
      <c r="B137" s="214"/>
      <c r="C137" s="214"/>
      <c r="D137" s="214"/>
      <c r="E137" s="215"/>
      <c r="F137" s="215"/>
      <c r="G137" s="215"/>
    </row>
    <row r="138" spans="1:16" ht="32.4" customHeight="1" x14ac:dyDescent="0.3">
      <c r="A138" s="115"/>
      <c r="B138" s="115"/>
      <c r="C138" s="61"/>
      <c r="D138" s="115"/>
      <c r="E138" s="215"/>
      <c r="F138" s="215"/>
      <c r="G138" s="215"/>
    </row>
  </sheetData>
  <mergeCells count="168">
    <mergeCell ref="A13:A14"/>
    <mergeCell ref="A16:A17"/>
    <mergeCell ref="A20:A23"/>
    <mergeCell ref="B20:B21"/>
    <mergeCell ref="C20:C21"/>
    <mergeCell ref="B22:B23"/>
    <mergeCell ref="C22:C23"/>
    <mergeCell ref="A1:C1"/>
    <mergeCell ref="A2:D2"/>
    <mergeCell ref="A3:C3"/>
    <mergeCell ref="A5:A6"/>
    <mergeCell ref="D7:E7"/>
    <mergeCell ref="A10:A11"/>
    <mergeCell ref="D34:E34"/>
    <mergeCell ref="B36:B38"/>
    <mergeCell ref="C40:E40"/>
    <mergeCell ref="C41:E41"/>
    <mergeCell ref="A43:J43"/>
    <mergeCell ref="A44:H44"/>
    <mergeCell ref="A25:A28"/>
    <mergeCell ref="B25:B26"/>
    <mergeCell ref="C25:C26"/>
    <mergeCell ref="B27:B28"/>
    <mergeCell ref="C27:C28"/>
    <mergeCell ref="A30:A33"/>
    <mergeCell ref="B30:B31"/>
    <mergeCell ref="C30:C31"/>
    <mergeCell ref="B32:B33"/>
    <mergeCell ref="C32:C33"/>
    <mergeCell ref="E45:F45"/>
    <mergeCell ref="I45:J45"/>
    <mergeCell ref="A46:A47"/>
    <mergeCell ref="B46:B47"/>
    <mergeCell ref="C46:C47"/>
    <mergeCell ref="D46:D47"/>
    <mergeCell ref="E46:F47"/>
    <mergeCell ref="G46:G47"/>
    <mergeCell ref="H46:H47"/>
    <mergeCell ref="I46:J50"/>
    <mergeCell ref="A55:B56"/>
    <mergeCell ref="C55:C56"/>
    <mergeCell ref="D55:D56"/>
    <mergeCell ref="E55:F56"/>
    <mergeCell ref="G55:H56"/>
    <mergeCell ref="A48:A50"/>
    <mergeCell ref="B48:H50"/>
    <mergeCell ref="A52:H52"/>
    <mergeCell ref="I52:L52"/>
    <mergeCell ref="A53:B54"/>
    <mergeCell ref="C53:C54"/>
    <mergeCell ref="D53:D54"/>
    <mergeCell ref="E53:F54"/>
    <mergeCell ref="G53:H54"/>
    <mergeCell ref="C57:D58"/>
    <mergeCell ref="E57:F58"/>
    <mergeCell ref="G57:H58"/>
    <mergeCell ref="A60:H60"/>
    <mergeCell ref="A61:A62"/>
    <mergeCell ref="B61:B62"/>
    <mergeCell ref="C61:C62"/>
    <mergeCell ref="D61:D62"/>
    <mergeCell ref="E61:E62"/>
    <mergeCell ref="F61:G62"/>
    <mergeCell ref="H61:H62"/>
    <mergeCell ref="I61:I62"/>
    <mergeCell ref="J61:K62"/>
    <mergeCell ref="A63:A64"/>
    <mergeCell ref="B63:B64"/>
    <mergeCell ref="C63:C64"/>
    <mergeCell ref="D63:D64"/>
    <mergeCell ref="E63:E64"/>
    <mergeCell ref="F63:G64"/>
    <mergeCell ref="H63:H64"/>
    <mergeCell ref="A69:A70"/>
    <mergeCell ref="B69:B70"/>
    <mergeCell ref="C69:C70"/>
    <mergeCell ref="D69:D70"/>
    <mergeCell ref="E69:E71"/>
    <mergeCell ref="F69:G71"/>
    <mergeCell ref="I63:I64"/>
    <mergeCell ref="J63:K64"/>
    <mergeCell ref="A66:G66"/>
    <mergeCell ref="A67:A68"/>
    <mergeCell ref="B67:D67"/>
    <mergeCell ref="E67:E68"/>
    <mergeCell ref="F67:G68"/>
    <mergeCell ref="A73:C73"/>
    <mergeCell ref="A74:D74"/>
    <mergeCell ref="A75:C75"/>
    <mergeCell ref="A81:A82"/>
    <mergeCell ref="A84:A85"/>
    <mergeCell ref="A88:A91"/>
    <mergeCell ref="B88:B89"/>
    <mergeCell ref="C88:C89"/>
    <mergeCell ref="B90:B91"/>
    <mergeCell ref="C90:C91"/>
    <mergeCell ref="D102:E102"/>
    <mergeCell ref="B104:B106"/>
    <mergeCell ref="C108:E108"/>
    <mergeCell ref="C109:E109"/>
    <mergeCell ref="A111:H111"/>
    <mergeCell ref="A112:F112"/>
    <mergeCell ref="A93:A96"/>
    <mergeCell ref="B93:B94"/>
    <mergeCell ref="C93:C94"/>
    <mergeCell ref="B95:B96"/>
    <mergeCell ref="C95:C96"/>
    <mergeCell ref="A98:A101"/>
    <mergeCell ref="B98:B99"/>
    <mergeCell ref="C98:C99"/>
    <mergeCell ref="B100:B101"/>
    <mergeCell ref="C100:C101"/>
    <mergeCell ref="I113:J113"/>
    <mergeCell ref="A114:A115"/>
    <mergeCell ref="B114:B115"/>
    <mergeCell ref="C114:C115"/>
    <mergeCell ref="D114:D115"/>
    <mergeCell ref="E114:F115"/>
    <mergeCell ref="G114:G115"/>
    <mergeCell ref="H114:H115"/>
    <mergeCell ref="I114:J117"/>
    <mergeCell ref="A116:A117"/>
    <mergeCell ref="B116:H117"/>
    <mergeCell ref="A119:H119"/>
    <mergeCell ref="A120:B121"/>
    <mergeCell ref="C120:C121"/>
    <mergeCell ref="D120:D121"/>
    <mergeCell ref="E120:F121"/>
    <mergeCell ref="G120:H121"/>
    <mergeCell ref="E113:F113"/>
    <mergeCell ref="A127:H127"/>
    <mergeCell ref="A128:A129"/>
    <mergeCell ref="B128:B129"/>
    <mergeCell ref="C128:C129"/>
    <mergeCell ref="D128:D129"/>
    <mergeCell ref="E128:E129"/>
    <mergeCell ref="F128:G129"/>
    <mergeCell ref="H128:H129"/>
    <mergeCell ref="A122:B123"/>
    <mergeCell ref="C122:C123"/>
    <mergeCell ref="D122:D123"/>
    <mergeCell ref="E122:F123"/>
    <mergeCell ref="G122:H123"/>
    <mergeCell ref="C124:D125"/>
    <mergeCell ref="E124:F125"/>
    <mergeCell ref="G124:H125"/>
    <mergeCell ref="I128:I129"/>
    <mergeCell ref="J128:K129"/>
    <mergeCell ref="A130:A131"/>
    <mergeCell ref="B130:B131"/>
    <mergeCell ref="C130:C131"/>
    <mergeCell ref="D130:D131"/>
    <mergeCell ref="E130:E131"/>
    <mergeCell ref="F130:G131"/>
    <mergeCell ref="H130:H131"/>
    <mergeCell ref="I130:I131"/>
    <mergeCell ref="A136:A137"/>
    <mergeCell ref="B136:B137"/>
    <mergeCell ref="C136:C137"/>
    <mergeCell ref="D136:D137"/>
    <mergeCell ref="E136:E138"/>
    <mergeCell ref="F136:G138"/>
    <mergeCell ref="J130:K131"/>
    <mergeCell ref="A133:G133"/>
    <mergeCell ref="A134:A135"/>
    <mergeCell ref="B134:D134"/>
    <mergeCell ref="E134:E135"/>
    <mergeCell ref="F134:G1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2" workbookViewId="0">
      <selection activeCell="C23" sqref="C23"/>
    </sheetView>
  </sheetViews>
  <sheetFormatPr defaultRowHeight="14.4" x14ac:dyDescent="0.3"/>
  <cols>
    <col min="1" max="1" width="38.33203125" customWidth="1"/>
    <col min="2" max="2" width="9.109375" customWidth="1"/>
  </cols>
  <sheetData>
    <row r="1" spans="1:11" x14ac:dyDescent="0.3">
      <c r="A1" s="49" t="s">
        <v>211</v>
      </c>
      <c r="B1" s="50"/>
      <c r="C1" s="50"/>
      <c r="D1" s="50"/>
    </row>
    <row r="2" spans="1:11" x14ac:dyDescent="0.3">
      <c r="A2" s="254" t="s">
        <v>68</v>
      </c>
      <c r="B2" s="254"/>
      <c r="C2" s="254"/>
      <c r="D2" s="254"/>
    </row>
    <row r="3" spans="1:11" x14ac:dyDescent="0.3">
      <c r="A3" s="47" t="s">
        <v>69</v>
      </c>
      <c r="B3" s="45">
        <v>450</v>
      </c>
      <c r="C3" s="2"/>
      <c r="D3" s="45"/>
    </row>
    <row r="4" spans="1:11" x14ac:dyDescent="0.3">
      <c r="A4" s="47" t="s">
        <v>70</v>
      </c>
      <c r="B4" s="45">
        <v>450</v>
      </c>
      <c r="C4" s="45"/>
      <c r="D4" s="45"/>
    </row>
    <row r="5" spans="1:11" x14ac:dyDescent="0.3">
      <c r="A5" s="47" t="s">
        <v>71</v>
      </c>
      <c r="B5" s="45">
        <v>605</v>
      </c>
      <c r="C5" s="45"/>
      <c r="D5" s="45"/>
    </row>
    <row r="6" spans="1:11" x14ac:dyDescent="0.3">
      <c r="A6" s="47" t="s">
        <v>72</v>
      </c>
      <c r="B6" s="45">
        <v>180</v>
      </c>
      <c r="C6" s="45"/>
      <c r="D6" s="45"/>
    </row>
    <row r="7" spans="1:11" x14ac:dyDescent="0.3">
      <c r="A7" s="46" t="s">
        <v>47</v>
      </c>
      <c r="B7" s="45">
        <v>25</v>
      </c>
      <c r="C7" s="45"/>
      <c r="D7" s="45"/>
    </row>
    <row r="8" spans="1:11" x14ac:dyDescent="0.3">
      <c r="A8" s="46" t="s">
        <v>48</v>
      </c>
      <c r="B8" s="45">
        <v>500</v>
      </c>
      <c r="C8" s="45"/>
      <c r="D8" s="45"/>
    </row>
    <row r="10" spans="1:11" x14ac:dyDescent="0.3">
      <c r="A10" s="260" t="s">
        <v>212</v>
      </c>
      <c r="B10" s="260"/>
    </row>
    <row r="11" spans="1:11" x14ac:dyDescent="0.3">
      <c r="A11" s="44" t="s">
        <v>73</v>
      </c>
      <c r="B11" s="44">
        <f>B5</f>
        <v>605</v>
      </c>
    </row>
    <row r="12" spans="1:11" x14ac:dyDescent="0.3">
      <c r="A12" s="44" t="s">
        <v>74</v>
      </c>
      <c r="B12" s="44">
        <f>0.1*B11</f>
        <v>60.5</v>
      </c>
      <c r="D12" s="48" t="s">
        <v>213</v>
      </c>
      <c r="E12" s="48"/>
      <c r="F12" s="48"/>
      <c r="G12" s="48"/>
      <c r="H12" s="48"/>
      <c r="I12" s="48"/>
    </row>
    <row r="13" spans="1:11" x14ac:dyDescent="0.3">
      <c r="A13" s="44" t="s">
        <v>75</v>
      </c>
      <c r="B13" s="44">
        <f>B11+B12</f>
        <v>665.5</v>
      </c>
    </row>
    <row r="14" spans="1:11" x14ac:dyDescent="0.3">
      <c r="A14" s="44" t="s">
        <v>76</v>
      </c>
      <c r="B14" s="44">
        <f>B13</f>
        <v>665.5</v>
      </c>
      <c r="D14" s="48" t="s">
        <v>214</v>
      </c>
      <c r="E14" s="48"/>
      <c r="F14" s="48"/>
      <c r="G14" s="48"/>
      <c r="H14" s="48"/>
      <c r="I14" s="48"/>
      <c r="J14" s="48"/>
      <c r="K14" s="48"/>
    </row>
    <row r="15" spans="1:11" x14ac:dyDescent="0.3">
      <c r="A15" s="44" t="s">
        <v>77</v>
      </c>
      <c r="B15" s="44">
        <f>(B14/B6)</f>
        <v>3.6972222222222224</v>
      </c>
      <c r="D15" s="48" t="s">
        <v>215</v>
      </c>
      <c r="E15" s="48"/>
      <c r="F15" s="48"/>
      <c r="G15" s="48"/>
      <c r="H15" s="48"/>
      <c r="I15" s="48"/>
      <c r="J15" s="48"/>
      <c r="K15" s="48"/>
    </row>
    <row r="16" spans="1:11" x14ac:dyDescent="0.3">
      <c r="A16" s="44" t="s">
        <v>78</v>
      </c>
      <c r="B16" s="44">
        <f>SQRT(B15)</f>
        <v>1.922816221645278</v>
      </c>
    </row>
    <row r="17" spans="1:13" x14ac:dyDescent="0.3">
      <c r="A17" s="44"/>
      <c r="B17" s="44"/>
    </row>
    <row r="18" spans="1:13" x14ac:dyDescent="0.3">
      <c r="A18" s="261" t="s">
        <v>209</v>
      </c>
      <c r="B18" s="261"/>
    </row>
    <row r="19" spans="1:13" x14ac:dyDescent="0.3">
      <c r="A19" s="261"/>
      <c r="B19" s="261"/>
    </row>
    <row r="21" spans="1:13" x14ac:dyDescent="0.3">
      <c r="A21" s="262" t="s">
        <v>219</v>
      </c>
      <c r="B21" s="263">
        <f>(B13)/(2^2)</f>
        <v>166.375</v>
      </c>
      <c r="D21" s="48" t="s">
        <v>220</v>
      </c>
      <c r="E21" s="48"/>
      <c r="F21" s="48"/>
      <c r="G21" s="48"/>
      <c r="H21" s="48"/>
      <c r="I21" s="48"/>
    </row>
    <row r="22" spans="1:13" x14ac:dyDescent="0.3">
      <c r="A22" s="262"/>
      <c r="B22" s="263"/>
    </row>
    <row r="24" spans="1:13" x14ac:dyDescent="0.3">
      <c r="A24" s="264" t="s">
        <v>216</v>
      </c>
      <c r="B24" s="264"/>
      <c r="C24" s="264"/>
      <c r="D24" s="94"/>
    </row>
    <row r="25" spans="1:13" x14ac:dyDescent="0.3">
      <c r="A25" s="265" t="s">
        <v>221</v>
      </c>
      <c r="B25" s="266">
        <f>1.5*B21*((2/8)*(2-B3/1000)^2)</f>
        <v>149.89347656250001</v>
      </c>
      <c r="C25" s="93"/>
      <c r="D25" s="93"/>
      <c r="G25" s="48" t="s">
        <v>217</v>
      </c>
      <c r="H25" s="48"/>
      <c r="I25" s="48"/>
      <c r="J25" s="48"/>
      <c r="K25" s="48"/>
      <c r="L25" s="48"/>
      <c r="M25" s="48"/>
    </row>
    <row r="26" spans="1:13" x14ac:dyDescent="0.3">
      <c r="A26" s="265"/>
      <c r="B26" s="266"/>
      <c r="C26" s="93"/>
      <c r="D26" s="93"/>
      <c r="G26" s="48" t="s">
        <v>218</v>
      </c>
      <c r="H26" s="48"/>
      <c r="I26" s="48"/>
      <c r="J26" s="48"/>
      <c r="K26" s="48"/>
      <c r="L26" s="48"/>
      <c r="M26" s="48"/>
    </row>
    <row r="27" spans="1:13" x14ac:dyDescent="0.3">
      <c r="A27" s="266" t="s">
        <v>79</v>
      </c>
      <c r="B27" s="266">
        <f>SQRT(B25*(10^6)/(0.138*B7*2000)) + 50</f>
        <v>197.38959344348157</v>
      </c>
      <c r="C27" s="265" t="s">
        <v>80</v>
      </c>
      <c r="D27" s="265"/>
      <c r="G27" s="48" t="s">
        <v>223</v>
      </c>
      <c r="H27" s="48"/>
      <c r="I27" s="48"/>
      <c r="J27" s="48"/>
    </row>
    <row r="28" spans="1:13" x14ac:dyDescent="0.3">
      <c r="A28" s="266"/>
      <c r="B28" s="266"/>
      <c r="C28" s="265"/>
      <c r="D28" s="265"/>
    </row>
    <row r="29" spans="1:13" x14ac:dyDescent="0.3">
      <c r="A29" s="93" t="s">
        <v>81</v>
      </c>
      <c r="B29" s="93">
        <v>500</v>
      </c>
      <c r="C29" s="93"/>
      <c r="D29" s="93"/>
      <c r="G29" s="48" t="s">
        <v>222</v>
      </c>
      <c r="H29" s="48"/>
      <c r="I29" s="48"/>
      <c r="J29" s="48"/>
      <c r="K29" s="48"/>
      <c r="L29" s="48"/>
      <c r="M29" s="48"/>
    </row>
    <row r="31" spans="1:13" x14ac:dyDescent="0.3">
      <c r="A31" s="259" t="s">
        <v>3</v>
      </c>
      <c r="B31" s="259"/>
      <c r="C31" s="259"/>
      <c r="F31" s="48" t="s">
        <v>286</v>
      </c>
      <c r="G31" s="48"/>
      <c r="H31" s="48">
        <f xml:space="preserve"> ((22/(7*4))*12^2)</f>
        <v>113.14285714285714</v>
      </c>
    </row>
    <row r="32" spans="1:13" x14ac:dyDescent="0.3">
      <c r="A32" s="255" t="s">
        <v>82</v>
      </c>
      <c r="B32" s="255"/>
      <c r="C32" s="255"/>
    </row>
    <row r="33" spans="1:10" x14ac:dyDescent="0.3">
      <c r="A33" s="95" t="s">
        <v>83</v>
      </c>
      <c r="B33" s="95">
        <v>585</v>
      </c>
      <c r="C33" s="95"/>
      <c r="F33" s="53" t="s">
        <v>224</v>
      </c>
      <c r="G33" s="53"/>
      <c r="H33" s="53"/>
      <c r="I33" s="53"/>
      <c r="J33" s="53">
        <f>(B36*100/(2000*B29))</f>
        <v>7.9200000000000007E-2</v>
      </c>
    </row>
    <row r="34" spans="1:10" x14ac:dyDescent="0.3">
      <c r="A34" s="256" t="s">
        <v>210</v>
      </c>
      <c r="B34" s="255">
        <f>(B33/H31)+1</f>
        <v>6.1704545454545459</v>
      </c>
      <c r="C34" s="95"/>
      <c r="F34" s="48" t="s">
        <v>225</v>
      </c>
      <c r="G34" s="48"/>
      <c r="H34" s="48"/>
      <c r="I34" s="48"/>
    </row>
    <row r="35" spans="1:10" x14ac:dyDescent="0.3">
      <c r="A35" s="256"/>
      <c r="B35" s="255"/>
      <c r="C35" s="95"/>
      <c r="F35" s="48" t="s">
        <v>226</v>
      </c>
      <c r="G35" s="48"/>
      <c r="H35" s="48"/>
      <c r="I35" s="48">
        <f xml:space="preserve"> 0.0012</f>
        <v>1.1999999999999999E-3</v>
      </c>
    </row>
    <row r="36" spans="1:10" x14ac:dyDescent="0.3">
      <c r="A36" s="95" t="s">
        <v>84</v>
      </c>
      <c r="B36" s="95">
        <f>7*H31</f>
        <v>792</v>
      </c>
      <c r="C36" s="95"/>
    </row>
    <row r="38" spans="1:10" x14ac:dyDescent="0.3">
      <c r="A38" s="257" t="s">
        <v>85</v>
      </c>
      <c r="B38" s="257"/>
      <c r="C38" s="257"/>
    </row>
    <row r="39" spans="1:10" x14ac:dyDescent="0.3">
      <c r="A39" s="96" t="s">
        <v>86</v>
      </c>
      <c r="B39" s="96">
        <f>H31*2000/(B36)</f>
        <v>285.71428571428572</v>
      </c>
      <c r="C39" s="96"/>
      <c r="F39" s="48" t="s">
        <v>227</v>
      </c>
      <c r="G39" s="48"/>
      <c r="H39" s="48"/>
      <c r="I39" s="48"/>
      <c r="J39" s="48"/>
    </row>
    <row r="40" spans="1:10" x14ac:dyDescent="0.3">
      <c r="A40" s="96" t="s">
        <v>65</v>
      </c>
      <c r="B40" s="96">
        <v>250</v>
      </c>
      <c r="C40" s="96"/>
    </row>
    <row r="41" spans="1:10" x14ac:dyDescent="0.3">
      <c r="A41" s="96"/>
      <c r="B41" s="96"/>
      <c r="C41" s="96"/>
    </row>
    <row r="42" spans="1:10" x14ac:dyDescent="0.3">
      <c r="A42" s="258"/>
      <c r="B42" s="258"/>
    </row>
    <row r="43" spans="1:10" x14ac:dyDescent="0.3">
      <c r="A43" s="258"/>
      <c r="B43" s="258"/>
    </row>
    <row r="45" spans="1:10" x14ac:dyDescent="0.3">
      <c r="A45" s="251" t="s">
        <v>87</v>
      </c>
      <c r="B45" s="251"/>
      <c r="C45" s="251"/>
    </row>
    <row r="46" spans="1:10" x14ac:dyDescent="0.3">
      <c r="A46" s="252" t="s">
        <v>241</v>
      </c>
      <c r="B46" s="253">
        <f>1.5*(B21*2*((2-350/1000)/2)*(B29/1000))</f>
        <v>205.88906250000002</v>
      </c>
      <c r="C46" s="97"/>
      <c r="F46" s="48" t="s">
        <v>228</v>
      </c>
      <c r="G46" s="48"/>
      <c r="H46" s="48"/>
      <c r="I46" s="48"/>
    </row>
    <row r="47" spans="1:10" x14ac:dyDescent="0.3">
      <c r="A47" s="252"/>
      <c r="B47" s="253"/>
      <c r="C47" s="97"/>
      <c r="F47" s="48" t="s">
        <v>229</v>
      </c>
      <c r="G47" s="48"/>
      <c r="H47" s="48"/>
      <c r="I47" s="48"/>
    </row>
    <row r="48" spans="1:10" x14ac:dyDescent="0.3">
      <c r="A48" s="97"/>
      <c r="B48" s="97"/>
      <c r="C48" s="97"/>
      <c r="F48" s="48"/>
      <c r="G48" s="48"/>
      <c r="H48" s="48"/>
      <c r="I48" s="48"/>
    </row>
    <row r="49" spans="1:15" x14ac:dyDescent="0.3">
      <c r="A49" s="252" t="s">
        <v>88</v>
      </c>
      <c r="B49" s="253">
        <f>(B46*1000)/(2000*B29)</f>
        <v>0.20588906250000003</v>
      </c>
      <c r="C49" s="97"/>
      <c r="F49" s="48" t="s">
        <v>230</v>
      </c>
      <c r="G49" s="48"/>
      <c r="H49" s="48"/>
      <c r="I49" s="48"/>
    </row>
    <row r="50" spans="1:15" x14ac:dyDescent="0.3">
      <c r="A50" s="252"/>
      <c r="B50" s="253"/>
      <c r="C50" s="97"/>
    </row>
    <row r="51" spans="1:15" x14ac:dyDescent="0.3">
      <c r="A51" s="97"/>
      <c r="B51" s="97"/>
      <c r="C51" s="97"/>
    </row>
    <row r="52" spans="1:15" x14ac:dyDescent="0.3">
      <c r="A52" s="252" t="s">
        <v>89</v>
      </c>
      <c r="B52" s="98">
        <f>I35</f>
        <v>1.1999999999999999E-3</v>
      </c>
      <c r="C52" s="97"/>
    </row>
    <row r="53" spans="1:15" x14ac:dyDescent="0.3">
      <c r="A53" s="252"/>
      <c r="B53" s="97"/>
      <c r="C53" s="97"/>
    </row>
    <row r="54" spans="1:15" x14ac:dyDescent="0.3">
      <c r="A54" s="97"/>
      <c r="B54" s="97"/>
      <c r="C54" s="97"/>
    </row>
    <row r="55" spans="1:15" x14ac:dyDescent="0.3">
      <c r="A55" s="252" t="s">
        <v>90</v>
      </c>
      <c r="B55" s="253">
        <f>0.24</f>
        <v>0.24</v>
      </c>
      <c r="C55" s="97"/>
      <c r="F55" s="48" t="s">
        <v>231</v>
      </c>
      <c r="G55" s="48"/>
      <c r="H55" s="48"/>
      <c r="I55" s="48"/>
      <c r="J55" s="48"/>
    </row>
    <row r="56" spans="1:15" x14ac:dyDescent="0.3">
      <c r="A56" s="252"/>
      <c r="B56" s="253"/>
      <c r="C56" s="97"/>
      <c r="F56" s="48" t="s">
        <v>235</v>
      </c>
      <c r="G56" s="48"/>
      <c r="H56" s="48"/>
      <c r="I56" s="48"/>
      <c r="J56" s="48"/>
    </row>
    <row r="57" spans="1:15" x14ac:dyDescent="0.3">
      <c r="A57" s="97"/>
      <c r="B57" s="97"/>
      <c r="C57" s="97"/>
    </row>
    <row r="58" spans="1:15" x14ac:dyDescent="0.3">
      <c r="A58" s="253" t="s">
        <v>91</v>
      </c>
      <c r="B58" s="252" t="str">
        <f>IF(B49&lt;B55,"Safe from one way shear","unsafe")</f>
        <v>Safe from one way shear</v>
      </c>
      <c r="C58" s="252"/>
      <c r="E58" s="48" t="s">
        <v>232</v>
      </c>
      <c r="F58" s="48"/>
      <c r="G58" s="48"/>
      <c r="H58" s="48"/>
      <c r="I58" s="48"/>
      <c r="J58" s="48"/>
      <c r="L58" s="48" t="s">
        <v>233</v>
      </c>
      <c r="M58" s="48"/>
      <c r="N58" s="48"/>
      <c r="O58" s="48"/>
    </row>
    <row r="59" spans="1:15" x14ac:dyDescent="0.3">
      <c r="A59" s="253"/>
      <c r="B59" s="252"/>
      <c r="C59" s="252"/>
      <c r="L59" s="48">
        <f>B46*1000/(2000*B55)</f>
        <v>428.93554687500006</v>
      </c>
      <c r="M59" s="48"/>
      <c r="N59" s="48"/>
      <c r="O59" s="48"/>
    </row>
    <row r="60" spans="1:15" x14ac:dyDescent="0.3">
      <c r="L60" s="48" t="s">
        <v>234</v>
      </c>
      <c r="M60" s="48"/>
      <c r="N60" s="48"/>
      <c r="O60" s="48"/>
    </row>
    <row r="61" spans="1:15" x14ac:dyDescent="0.3">
      <c r="A61" s="254" t="s">
        <v>92</v>
      </c>
      <c r="B61" s="254"/>
      <c r="C61" s="254"/>
    </row>
    <row r="62" spans="1:15" x14ac:dyDescent="0.3">
      <c r="A62" s="249" t="s">
        <v>242</v>
      </c>
      <c r="B62" s="250">
        <f>1.5*B21*((2^2)-(B3/1000+B4/1000)^2)</f>
        <v>796.104375</v>
      </c>
      <c r="C62" s="99"/>
      <c r="F62" s="48" t="s">
        <v>236</v>
      </c>
      <c r="G62" s="48"/>
      <c r="H62" s="48"/>
      <c r="I62" s="48"/>
      <c r="J62" s="48"/>
      <c r="K62" s="48"/>
    </row>
    <row r="63" spans="1:15" x14ac:dyDescent="0.3">
      <c r="A63" s="249"/>
      <c r="B63" s="250"/>
      <c r="C63" s="99"/>
      <c r="F63" s="48" t="s">
        <v>237</v>
      </c>
      <c r="G63" s="48"/>
      <c r="H63" s="48"/>
      <c r="I63" s="48"/>
      <c r="J63" s="48"/>
      <c r="K63" s="48"/>
    </row>
    <row r="64" spans="1:15" x14ac:dyDescent="0.3">
      <c r="A64" s="249" t="s">
        <v>93</v>
      </c>
      <c r="B64" s="250">
        <f>4*((B3/1000)+(B4/1000))</f>
        <v>3.6</v>
      </c>
      <c r="C64" s="99"/>
      <c r="F64" s="48" t="s">
        <v>238</v>
      </c>
      <c r="G64" s="48"/>
      <c r="H64" s="48"/>
      <c r="I64" s="48"/>
      <c r="J64" s="48"/>
      <c r="K64" s="48"/>
    </row>
    <row r="65" spans="1:11" x14ac:dyDescent="0.3">
      <c r="A65" s="249"/>
      <c r="B65" s="250"/>
      <c r="C65" s="99"/>
    </row>
    <row r="66" spans="1:11" x14ac:dyDescent="0.3">
      <c r="A66" s="249" t="s">
        <v>88</v>
      </c>
      <c r="B66" s="250">
        <f>(B62*1000)/(B64*1000*B29)</f>
        <v>0.44228020833333331</v>
      </c>
      <c r="C66" s="99"/>
      <c r="F66" s="48" t="s">
        <v>239</v>
      </c>
      <c r="G66" s="48"/>
      <c r="H66" s="48"/>
      <c r="I66" s="48"/>
    </row>
    <row r="67" spans="1:11" x14ac:dyDescent="0.3">
      <c r="A67" s="249"/>
      <c r="B67" s="250"/>
      <c r="C67" s="99"/>
    </row>
    <row r="68" spans="1:11" x14ac:dyDescent="0.3">
      <c r="A68" s="99" t="s">
        <v>94</v>
      </c>
      <c r="B68" s="99">
        <f>(0.5+1)</f>
        <v>1.5</v>
      </c>
      <c r="C68" s="99"/>
      <c r="F68" s="48" t="s">
        <v>240</v>
      </c>
      <c r="G68" s="48"/>
      <c r="H68" s="48"/>
      <c r="I68" s="48"/>
      <c r="J68" s="48"/>
    </row>
    <row r="69" spans="1:11" x14ac:dyDescent="0.3">
      <c r="A69" s="249" t="s">
        <v>95</v>
      </c>
      <c r="B69" s="250">
        <f>1</f>
        <v>1</v>
      </c>
      <c r="C69" s="99"/>
      <c r="F69" s="48" t="s">
        <v>244</v>
      </c>
      <c r="G69" s="48"/>
      <c r="H69" s="48"/>
    </row>
    <row r="70" spans="1:11" x14ac:dyDescent="0.3">
      <c r="A70" s="249"/>
      <c r="B70" s="250"/>
      <c r="C70" s="99"/>
    </row>
    <row r="71" spans="1:11" x14ac:dyDescent="0.3">
      <c r="A71" s="249" t="s">
        <v>96</v>
      </c>
      <c r="B71" s="250">
        <f>B69*0.25*(SQRT(B7))</f>
        <v>1.25</v>
      </c>
      <c r="C71" s="99"/>
    </row>
    <row r="72" spans="1:11" x14ac:dyDescent="0.3">
      <c r="A72" s="249"/>
      <c r="B72" s="250"/>
      <c r="C72" s="99"/>
    </row>
    <row r="73" spans="1:11" x14ac:dyDescent="0.3">
      <c r="A73" s="250" t="s">
        <v>53</v>
      </c>
      <c r="B73" s="249" t="str">
        <f>IF(B66&lt;B71,"Safe from two way shear","unsafe")</f>
        <v>Safe from two way shear</v>
      </c>
      <c r="C73" s="249"/>
      <c r="F73" s="48" t="s">
        <v>243</v>
      </c>
      <c r="G73" s="48"/>
      <c r="H73" s="48"/>
      <c r="I73" s="48"/>
      <c r="J73" s="48"/>
      <c r="K73" s="48"/>
    </row>
    <row r="74" spans="1:11" x14ac:dyDescent="0.3">
      <c r="A74" s="250"/>
      <c r="B74" s="249"/>
      <c r="C74" s="249"/>
    </row>
  </sheetData>
  <mergeCells count="41">
    <mergeCell ref="A31:C31"/>
    <mergeCell ref="A2:D2"/>
    <mergeCell ref="A10:B10"/>
    <mergeCell ref="A18:B19"/>
    <mergeCell ref="A21:A22"/>
    <mergeCell ref="B21:B22"/>
    <mergeCell ref="A24:C24"/>
    <mergeCell ref="A25:A26"/>
    <mergeCell ref="B25:B26"/>
    <mergeCell ref="A27:A28"/>
    <mergeCell ref="B27:B28"/>
    <mergeCell ref="C27:D28"/>
    <mergeCell ref="A32:C32"/>
    <mergeCell ref="A34:A35"/>
    <mergeCell ref="B34:B35"/>
    <mergeCell ref="A38:C38"/>
    <mergeCell ref="A42:A43"/>
    <mergeCell ref="B42:B43"/>
    <mergeCell ref="A62:A63"/>
    <mergeCell ref="B62:B63"/>
    <mergeCell ref="A45:C45"/>
    <mergeCell ref="A46:A47"/>
    <mergeCell ref="B46:B47"/>
    <mergeCell ref="A49:A50"/>
    <mergeCell ref="B49:B50"/>
    <mergeCell ref="A52:A53"/>
    <mergeCell ref="A55:A56"/>
    <mergeCell ref="B55:B56"/>
    <mergeCell ref="A58:A59"/>
    <mergeCell ref="B58:C59"/>
    <mergeCell ref="A61:C61"/>
    <mergeCell ref="A71:A72"/>
    <mergeCell ref="B71:B72"/>
    <mergeCell ref="A73:A74"/>
    <mergeCell ref="B73:C74"/>
    <mergeCell ref="A64:A65"/>
    <mergeCell ref="B64:B65"/>
    <mergeCell ref="A66:A67"/>
    <mergeCell ref="B66:B67"/>
    <mergeCell ref="A69:A70"/>
    <mergeCell ref="B69:B7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opLeftCell="A76" workbookViewId="0">
      <selection activeCell="A97" sqref="A97:A100"/>
    </sheetView>
  </sheetViews>
  <sheetFormatPr defaultRowHeight="14.4" x14ac:dyDescent="0.3"/>
  <cols>
    <col min="1" max="1" width="16.33203125" style="126" customWidth="1"/>
    <col min="2" max="2" width="15.33203125" style="126" customWidth="1"/>
    <col min="3" max="3" width="8.88671875" style="126"/>
    <col min="4" max="4" width="12" style="126" customWidth="1"/>
    <col min="5" max="7" width="8.88671875" style="126"/>
    <col min="8" max="8" width="9.33203125" style="126" customWidth="1"/>
    <col min="9" max="9" width="9.44140625" style="126" bestFit="1" customWidth="1"/>
    <col min="10" max="10" width="8.88671875" style="126"/>
    <col min="11" max="11" width="14.5546875" style="126" customWidth="1"/>
    <col min="12" max="16384" width="8.88671875" style="126"/>
  </cols>
  <sheetData>
    <row r="1" spans="1:7" x14ac:dyDescent="0.3">
      <c r="A1" s="258" t="s">
        <v>20</v>
      </c>
      <c r="B1" s="258"/>
      <c r="C1" s="258"/>
    </row>
    <row r="2" spans="1:7" x14ac:dyDescent="0.3">
      <c r="A2" s="258" t="s">
        <v>21</v>
      </c>
      <c r="B2" s="258"/>
      <c r="C2" s="258"/>
    </row>
    <row r="3" spans="1:7" x14ac:dyDescent="0.3">
      <c r="A3" s="126" t="s">
        <v>22</v>
      </c>
      <c r="B3" s="126" t="s">
        <v>23</v>
      </c>
      <c r="C3" s="126" t="s">
        <v>245</v>
      </c>
      <c r="D3" s="126" t="s">
        <v>24</v>
      </c>
      <c r="E3" s="126" t="s">
        <v>25</v>
      </c>
      <c r="F3" s="126" t="s">
        <v>26</v>
      </c>
      <c r="G3" s="126" t="s">
        <v>27</v>
      </c>
    </row>
    <row r="4" spans="1:7" x14ac:dyDescent="0.3">
      <c r="A4" s="258" t="s">
        <v>28</v>
      </c>
      <c r="B4" s="126" t="s">
        <v>29</v>
      </c>
      <c r="C4" s="126">
        <v>20</v>
      </c>
      <c r="D4" s="126">
        <v>1</v>
      </c>
      <c r="E4" s="126">
        <v>0.2</v>
      </c>
      <c r="F4" s="126">
        <f>3.25/2</f>
        <v>1.625</v>
      </c>
      <c r="G4" s="126">
        <f>C4*D4*E4*F4</f>
        <v>6.5</v>
      </c>
    </row>
    <row r="5" spans="1:7" x14ac:dyDescent="0.3">
      <c r="A5" s="258"/>
      <c r="B5" s="126" t="s">
        <v>29</v>
      </c>
      <c r="C5" s="126">
        <v>20</v>
      </c>
      <c r="D5" s="126">
        <v>1</v>
      </c>
      <c r="E5" s="126">
        <v>0.2</v>
      </c>
      <c r="F5" s="126">
        <f>4/2</f>
        <v>2</v>
      </c>
      <c r="G5" s="126">
        <f>C5*D5*E5*F5</f>
        <v>8</v>
      </c>
    </row>
    <row r="6" spans="1:7" x14ac:dyDescent="0.3">
      <c r="D6" s="258" t="s">
        <v>30</v>
      </c>
      <c r="E6" s="258"/>
      <c r="G6" s="126">
        <f>SUM(G4:G5)</f>
        <v>14.5</v>
      </c>
    </row>
    <row r="8" spans="1:7" x14ac:dyDescent="0.3">
      <c r="A8" s="126" t="s">
        <v>22</v>
      </c>
      <c r="B8" s="126" t="s">
        <v>23</v>
      </c>
      <c r="C8" s="126" t="s">
        <v>246</v>
      </c>
      <c r="D8" s="126" t="s">
        <v>31</v>
      </c>
      <c r="E8" s="126" t="s">
        <v>32</v>
      </c>
      <c r="F8" s="126" t="s">
        <v>27</v>
      </c>
    </row>
    <row r="9" spans="1:7" x14ac:dyDescent="0.3">
      <c r="A9" s="258" t="s">
        <v>33</v>
      </c>
      <c r="B9" s="126" t="s">
        <v>34</v>
      </c>
      <c r="C9" s="126">
        <v>3.53</v>
      </c>
      <c r="D9" s="126">
        <v>3.25</v>
      </c>
      <c r="E9" s="126">
        <v>4</v>
      </c>
      <c r="F9" s="126">
        <f>C9*(D9*E9)/4</f>
        <v>11.4725</v>
      </c>
    </row>
    <row r="10" spans="1:7" x14ac:dyDescent="0.3">
      <c r="A10" s="258"/>
      <c r="B10" s="126" t="s">
        <v>35</v>
      </c>
      <c r="C10" s="126">
        <v>3</v>
      </c>
      <c r="D10" s="126">
        <v>3.25</v>
      </c>
      <c r="E10" s="126">
        <v>4</v>
      </c>
      <c r="F10" s="126">
        <f>C10*(D10*E10)/4</f>
        <v>9.75</v>
      </c>
    </row>
    <row r="12" spans="1:7" x14ac:dyDescent="0.3">
      <c r="A12" s="258" t="s">
        <v>36</v>
      </c>
      <c r="B12" s="126" t="s">
        <v>34</v>
      </c>
      <c r="C12" s="126">
        <f>C9</f>
        <v>3.53</v>
      </c>
      <c r="D12" s="126">
        <v>3.25</v>
      </c>
      <c r="E12" s="126">
        <v>4</v>
      </c>
      <c r="F12" s="126">
        <f>C12*(D12*E12)/4</f>
        <v>11.4725</v>
      </c>
    </row>
    <row r="13" spans="1:7" x14ac:dyDescent="0.3">
      <c r="A13" s="258"/>
      <c r="B13" s="126" t="s">
        <v>35</v>
      </c>
      <c r="C13" s="126">
        <v>3</v>
      </c>
      <c r="D13" s="126">
        <v>3.25</v>
      </c>
      <c r="E13" s="126">
        <v>4</v>
      </c>
      <c r="F13" s="126">
        <f>C13*(D13*E13)/4</f>
        <v>9.75</v>
      </c>
    </row>
    <row r="15" spans="1:7" x14ac:dyDescent="0.3">
      <c r="A15" s="258" t="s">
        <v>37</v>
      </c>
      <c r="B15" s="126" t="s">
        <v>34</v>
      </c>
      <c r="C15" s="126">
        <f>C9</f>
        <v>3.53</v>
      </c>
      <c r="D15" s="126">
        <v>3.25</v>
      </c>
      <c r="E15" s="126">
        <v>4</v>
      </c>
      <c r="F15" s="126">
        <f>C15*(D15*E15)/4</f>
        <v>11.4725</v>
      </c>
    </row>
    <row r="16" spans="1:7" x14ac:dyDescent="0.3">
      <c r="A16" s="258"/>
      <c r="B16" s="126" t="s">
        <v>35</v>
      </c>
      <c r="C16" s="126">
        <v>3</v>
      </c>
      <c r="D16" s="126">
        <v>3.25</v>
      </c>
      <c r="E16" s="126">
        <v>4</v>
      </c>
      <c r="F16" s="126">
        <f>C16*(D16*E16)/4</f>
        <v>9.75</v>
      </c>
    </row>
    <row r="18" spans="1:6" x14ac:dyDescent="0.3">
      <c r="A18" s="126" t="s">
        <v>22</v>
      </c>
      <c r="B18" s="126" t="s">
        <v>23</v>
      </c>
      <c r="C18" s="126" t="s">
        <v>97</v>
      </c>
      <c r="D18" s="126" t="s">
        <v>31</v>
      </c>
      <c r="E18" s="126" t="s">
        <v>32</v>
      </c>
      <c r="F18" s="126" t="s">
        <v>27</v>
      </c>
    </row>
    <row r="19" spans="1:6" x14ac:dyDescent="0.3">
      <c r="A19" s="258" t="s">
        <v>33</v>
      </c>
      <c r="B19" s="258" t="s">
        <v>38</v>
      </c>
      <c r="C19" s="258">
        <v>11.44</v>
      </c>
      <c r="D19" s="126">
        <v>3.25</v>
      </c>
      <c r="F19" s="126">
        <f>C19*(D19/2)</f>
        <v>18.59</v>
      </c>
    </row>
    <row r="20" spans="1:6" x14ac:dyDescent="0.3">
      <c r="A20" s="258"/>
      <c r="B20" s="258"/>
      <c r="C20" s="258"/>
      <c r="E20" s="126">
        <v>4</v>
      </c>
      <c r="F20" s="126">
        <f>C19*(E20/2)</f>
        <v>22.88</v>
      </c>
    </row>
    <row r="21" spans="1:6" x14ac:dyDescent="0.3">
      <c r="A21" s="258"/>
      <c r="B21" s="258" t="s">
        <v>39</v>
      </c>
      <c r="C21" s="258">
        <v>3</v>
      </c>
      <c r="D21" s="126">
        <v>3.25</v>
      </c>
      <c r="F21" s="126">
        <f>C21*(D21/2)</f>
        <v>4.875</v>
      </c>
    </row>
    <row r="22" spans="1:6" x14ac:dyDescent="0.3">
      <c r="A22" s="258"/>
      <c r="B22" s="258"/>
      <c r="C22" s="258"/>
      <c r="E22" s="126">
        <v>4</v>
      </c>
      <c r="F22" s="126">
        <f>C21*(E22/2)</f>
        <v>6</v>
      </c>
    </row>
    <row r="24" spans="1:6" x14ac:dyDescent="0.3">
      <c r="A24" s="258" t="s">
        <v>40</v>
      </c>
      <c r="B24" s="258" t="s">
        <v>38</v>
      </c>
      <c r="C24" s="258">
        <v>11.44</v>
      </c>
      <c r="D24" s="126">
        <v>3.25</v>
      </c>
      <c r="F24" s="126">
        <f>C24*(D24/2)</f>
        <v>18.59</v>
      </c>
    </row>
    <row r="25" spans="1:6" x14ac:dyDescent="0.3">
      <c r="A25" s="258"/>
      <c r="B25" s="258"/>
      <c r="C25" s="258"/>
      <c r="E25" s="126">
        <v>4</v>
      </c>
      <c r="F25" s="126">
        <f>C24*(E25/2)</f>
        <v>22.88</v>
      </c>
    </row>
    <row r="26" spans="1:6" x14ac:dyDescent="0.3">
      <c r="A26" s="258"/>
      <c r="B26" s="258" t="s">
        <v>39</v>
      </c>
      <c r="C26" s="258">
        <v>3</v>
      </c>
      <c r="D26" s="126">
        <v>3.25</v>
      </c>
      <c r="F26" s="126">
        <f>C26*(D26/2)</f>
        <v>4.875</v>
      </c>
    </row>
    <row r="27" spans="1:6" x14ac:dyDescent="0.3">
      <c r="A27" s="258"/>
      <c r="B27" s="258"/>
      <c r="C27" s="258"/>
      <c r="E27" s="126">
        <v>4</v>
      </c>
      <c r="F27" s="126">
        <f>C26*(E27/2)</f>
        <v>6</v>
      </c>
    </row>
    <row r="29" spans="1:6" x14ac:dyDescent="0.3">
      <c r="A29" s="258" t="s">
        <v>37</v>
      </c>
      <c r="B29" s="258" t="s">
        <v>38</v>
      </c>
      <c r="C29" s="258">
        <v>11.44</v>
      </c>
      <c r="D29" s="126">
        <v>3.25</v>
      </c>
      <c r="F29" s="126">
        <f>C29*(D29/2)</f>
        <v>18.59</v>
      </c>
    </row>
    <row r="30" spans="1:6" x14ac:dyDescent="0.3">
      <c r="A30" s="258"/>
      <c r="B30" s="258"/>
      <c r="C30" s="258"/>
      <c r="E30" s="126">
        <v>4</v>
      </c>
      <c r="F30" s="126">
        <f>C29*(E30/2)</f>
        <v>22.88</v>
      </c>
    </row>
    <row r="31" spans="1:6" x14ac:dyDescent="0.3">
      <c r="A31" s="258"/>
      <c r="B31" s="258" t="s">
        <v>39</v>
      </c>
      <c r="C31" s="258">
        <v>3</v>
      </c>
      <c r="D31" s="126">
        <v>3.25</v>
      </c>
      <c r="F31" s="126">
        <f>C31*(D31/2)</f>
        <v>4.875</v>
      </c>
    </row>
    <row r="32" spans="1:6" x14ac:dyDescent="0.3">
      <c r="A32" s="258"/>
      <c r="B32" s="258"/>
      <c r="C32" s="258"/>
      <c r="E32" s="126">
        <v>4</v>
      </c>
      <c r="F32" s="126">
        <f>C31*(E32/2)</f>
        <v>6</v>
      </c>
    </row>
    <row r="33" spans="1:12" x14ac:dyDescent="0.3">
      <c r="D33" s="258"/>
      <c r="E33" s="258"/>
    </row>
    <row r="34" spans="1:12" x14ac:dyDescent="0.3">
      <c r="A34" s="126" t="s">
        <v>22</v>
      </c>
      <c r="B34" s="126" t="s">
        <v>23</v>
      </c>
      <c r="C34" s="126" t="s">
        <v>245</v>
      </c>
      <c r="D34" s="126" t="s">
        <v>24</v>
      </c>
      <c r="E34" s="126" t="s">
        <v>25</v>
      </c>
      <c r="F34" s="126" t="s">
        <v>41</v>
      </c>
      <c r="G34" s="126" t="s">
        <v>27</v>
      </c>
    </row>
    <row r="35" spans="1:12" x14ac:dyDescent="0.3">
      <c r="A35" s="126" t="s">
        <v>33</v>
      </c>
      <c r="B35" s="258" t="s">
        <v>42</v>
      </c>
      <c r="C35" s="126">
        <v>25</v>
      </c>
      <c r="D35" s="126">
        <v>3</v>
      </c>
      <c r="E35" s="126">
        <v>0.4</v>
      </c>
      <c r="F35" s="126">
        <v>0.4</v>
      </c>
      <c r="G35" s="126">
        <f>C35*D35*E35*F35</f>
        <v>12</v>
      </c>
    </row>
    <row r="36" spans="1:12" x14ac:dyDescent="0.3">
      <c r="A36" s="126" t="s">
        <v>36</v>
      </c>
      <c r="B36" s="258"/>
      <c r="C36" s="126">
        <v>25</v>
      </c>
      <c r="D36" s="126">
        <v>3</v>
      </c>
      <c r="E36" s="126">
        <v>0.4</v>
      </c>
      <c r="F36" s="126">
        <v>0.4</v>
      </c>
      <c r="G36" s="126">
        <f t="shared" ref="G36:G37" si="0">C36*D36*E36*F36</f>
        <v>12</v>
      </c>
    </row>
    <row r="37" spans="1:12" x14ac:dyDescent="0.3">
      <c r="A37" s="126" t="s">
        <v>37</v>
      </c>
      <c r="B37" s="258"/>
      <c r="C37" s="126">
        <v>25</v>
      </c>
      <c r="D37" s="126">
        <v>3</v>
      </c>
      <c r="E37" s="126">
        <v>0.4</v>
      </c>
      <c r="F37" s="126">
        <v>0.4</v>
      </c>
      <c r="G37" s="126">
        <f t="shared" si="0"/>
        <v>12</v>
      </c>
    </row>
    <row r="39" spans="1:12" x14ac:dyDescent="0.3">
      <c r="C39" s="258" t="s">
        <v>43</v>
      </c>
      <c r="D39" s="258"/>
      <c r="E39" s="258"/>
      <c r="G39" s="126">
        <f>SUM(G6,F9,F10,F12,F13,F15,F16,F19,F20,F21,F22,F24,F25,F26,F27,F29,F30,F31,F32,G35,G36,G37)</f>
        <v>271.20249999999999</v>
      </c>
    </row>
    <row r="40" spans="1:12" x14ac:dyDescent="0.3">
      <c r="C40" s="258" t="s">
        <v>44</v>
      </c>
      <c r="D40" s="258"/>
      <c r="E40" s="258"/>
      <c r="G40" s="126">
        <f>1.5*G39</f>
        <v>406.80374999999998</v>
      </c>
    </row>
    <row r="42" spans="1:12" x14ac:dyDescent="0.3">
      <c r="A42" s="258" t="s">
        <v>45</v>
      </c>
      <c r="B42" s="258"/>
      <c r="C42" s="258"/>
      <c r="D42" s="258"/>
      <c r="E42" s="258"/>
      <c r="F42" s="258"/>
      <c r="G42" s="258"/>
      <c r="H42" s="258"/>
      <c r="I42" s="258"/>
      <c r="J42" s="258"/>
    </row>
    <row r="43" spans="1:12" x14ac:dyDescent="0.3">
      <c r="A43" s="258" t="s">
        <v>250</v>
      </c>
      <c r="B43" s="258"/>
      <c r="C43" s="258"/>
      <c r="D43" s="258"/>
      <c r="E43" s="258"/>
      <c r="F43" s="258"/>
      <c r="G43" s="258"/>
      <c r="H43" s="258"/>
      <c r="L43" s="126" t="s">
        <v>248</v>
      </c>
    </row>
    <row r="44" spans="1:12" x14ac:dyDescent="0.3">
      <c r="A44" s="126" t="s">
        <v>46</v>
      </c>
      <c r="B44" s="126" t="s">
        <v>47</v>
      </c>
      <c r="C44" s="126" t="s">
        <v>48</v>
      </c>
      <c r="D44" s="126" t="s">
        <v>49</v>
      </c>
      <c r="E44" s="258" t="s">
        <v>50</v>
      </c>
      <c r="F44" s="258"/>
      <c r="G44" s="126" t="s">
        <v>51</v>
      </c>
      <c r="H44" s="126" t="s">
        <v>52</v>
      </c>
      <c r="I44" s="258" t="s">
        <v>6</v>
      </c>
      <c r="J44" s="258"/>
      <c r="L44" s="126" t="s">
        <v>249</v>
      </c>
    </row>
    <row r="45" spans="1:12" x14ac:dyDescent="0.3">
      <c r="A45" s="258">
        <f>G40</f>
        <v>406.80374999999998</v>
      </c>
      <c r="B45" s="258">
        <v>25</v>
      </c>
      <c r="C45" s="258">
        <v>500</v>
      </c>
      <c r="D45" s="258">
        <v>8.0000000000000002E-3</v>
      </c>
      <c r="E45" s="258">
        <f>(A45*1000)/((0.4*B45)+(0.67*C45*D45))</f>
        <v>32082.314668769715</v>
      </c>
      <c r="F45" s="258"/>
      <c r="G45" s="258">
        <f>SQRT(E45)</f>
        <v>179.11536692525775</v>
      </c>
      <c r="H45" s="258">
        <f>SQRT(E45)</f>
        <v>179.11536692525775</v>
      </c>
      <c r="I45" s="258" t="s">
        <v>251</v>
      </c>
      <c r="J45" s="258"/>
    </row>
    <row r="46" spans="1:12" x14ac:dyDescent="0.3">
      <c r="A46" s="258"/>
      <c r="B46" s="258"/>
      <c r="C46" s="258"/>
      <c r="D46" s="258"/>
      <c r="E46" s="258"/>
      <c r="F46" s="258"/>
      <c r="G46" s="258"/>
      <c r="H46" s="258"/>
      <c r="I46" s="258"/>
      <c r="J46" s="258"/>
    </row>
    <row r="47" spans="1:12" x14ac:dyDescent="0.3">
      <c r="A47" s="258" t="s">
        <v>53</v>
      </c>
      <c r="B47" s="258" t="s">
        <v>252</v>
      </c>
      <c r="C47" s="258"/>
      <c r="D47" s="258"/>
      <c r="E47" s="258"/>
      <c r="F47" s="258"/>
      <c r="G47" s="258"/>
      <c r="H47" s="258"/>
      <c r="I47" s="258"/>
      <c r="J47" s="258"/>
    </row>
    <row r="48" spans="1:12" x14ac:dyDescent="0.3">
      <c r="A48" s="258"/>
      <c r="B48" s="258"/>
      <c r="C48" s="258"/>
      <c r="D48" s="258"/>
      <c r="E48" s="258"/>
      <c r="F48" s="258"/>
      <c r="G48" s="258"/>
      <c r="H48" s="258"/>
      <c r="I48" s="258"/>
      <c r="J48" s="258"/>
    </row>
    <row r="49" spans="1:14" x14ac:dyDescent="0.3">
      <c r="A49" s="258"/>
      <c r="B49" s="258"/>
      <c r="C49" s="258"/>
      <c r="D49" s="258"/>
      <c r="E49" s="258"/>
      <c r="F49" s="258"/>
      <c r="G49" s="258"/>
      <c r="H49" s="258"/>
      <c r="I49" s="258"/>
      <c r="J49" s="258"/>
    </row>
    <row r="51" spans="1:14" x14ac:dyDescent="0.3">
      <c r="A51" s="258" t="s">
        <v>54</v>
      </c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</row>
    <row r="52" spans="1:14" x14ac:dyDescent="0.3">
      <c r="A52" s="258" t="s">
        <v>55</v>
      </c>
      <c r="B52" s="258"/>
      <c r="C52" s="258" t="s">
        <v>56</v>
      </c>
      <c r="D52" s="258" t="s">
        <v>57</v>
      </c>
      <c r="E52" s="258" t="s">
        <v>253</v>
      </c>
      <c r="F52" s="258"/>
      <c r="G52" s="258" t="s">
        <v>254</v>
      </c>
      <c r="H52" s="258"/>
    </row>
    <row r="53" spans="1:14" ht="50.4" customHeight="1" x14ac:dyDescent="0.3">
      <c r="A53" s="258"/>
      <c r="B53" s="258"/>
      <c r="C53" s="258"/>
      <c r="D53" s="258"/>
      <c r="E53" s="258"/>
      <c r="F53" s="258"/>
      <c r="G53" s="258"/>
      <c r="H53" s="258"/>
    </row>
    <row r="54" spans="1:14" x14ac:dyDescent="0.3">
      <c r="A54" s="258">
        <v>3</v>
      </c>
      <c r="B54" s="258"/>
      <c r="C54" s="258">
        <v>300</v>
      </c>
      <c r="D54" s="258">
        <v>300</v>
      </c>
      <c r="E54" s="258">
        <f>((A54*1000)/500)+(C54/30)</f>
        <v>16</v>
      </c>
      <c r="F54" s="258"/>
      <c r="G54" s="258">
        <v>20</v>
      </c>
      <c r="H54" s="258"/>
    </row>
    <row r="55" spans="1:14" x14ac:dyDescent="0.3">
      <c r="A55" s="258"/>
      <c r="B55" s="258"/>
      <c r="C55" s="258"/>
      <c r="D55" s="258"/>
      <c r="E55" s="258"/>
      <c r="F55" s="258"/>
      <c r="G55" s="258"/>
      <c r="H55" s="258"/>
      <c r="K55" s="126" t="s">
        <v>255</v>
      </c>
    </row>
    <row r="56" spans="1:14" x14ac:dyDescent="0.3">
      <c r="C56" s="258" t="s">
        <v>58</v>
      </c>
      <c r="D56" s="258"/>
      <c r="E56" s="258" t="str">
        <f>IF(E54&gt;G54,"check is ok","re design")</f>
        <v>re design</v>
      </c>
      <c r="F56" s="258"/>
      <c r="G56" s="258"/>
      <c r="H56" s="258"/>
      <c r="K56" s="126" t="s">
        <v>256</v>
      </c>
      <c r="L56" s="126">
        <f xml:space="preserve"> 21</f>
        <v>21</v>
      </c>
      <c r="M56" s="126" t="s">
        <v>257</v>
      </c>
    </row>
    <row r="57" spans="1:14" x14ac:dyDescent="0.3">
      <c r="C57" s="258"/>
      <c r="D57" s="258"/>
      <c r="E57" s="258"/>
      <c r="F57" s="258"/>
      <c r="G57" s="258"/>
      <c r="H57" s="258"/>
    </row>
    <row r="59" spans="1:14" x14ac:dyDescent="0.3">
      <c r="A59" s="258" t="s">
        <v>59</v>
      </c>
      <c r="B59" s="258"/>
      <c r="C59" s="258"/>
      <c r="D59" s="258"/>
      <c r="E59" s="258"/>
      <c r="F59" s="258"/>
      <c r="G59" s="258"/>
      <c r="H59" s="258"/>
    </row>
    <row r="60" spans="1:14" x14ac:dyDescent="0.3">
      <c r="A60" s="258" t="s">
        <v>46</v>
      </c>
      <c r="B60" s="258" t="s">
        <v>47</v>
      </c>
      <c r="C60" s="258" t="s">
        <v>48</v>
      </c>
      <c r="D60" s="258" t="s">
        <v>56</v>
      </c>
      <c r="E60" s="258" t="s">
        <v>57</v>
      </c>
      <c r="F60" s="258" t="s">
        <v>50</v>
      </c>
      <c r="G60" s="258"/>
      <c r="H60" s="258" t="s">
        <v>60</v>
      </c>
      <c r="I60" s="258" t="s">
        <v>49</v>
      </c>
      <c r="J60" s="258" t="s">
        <v>61</v>
      </c>
      <c r="K60" s="258"/>
      <c r="M60" s="126" t="s">
        <v>258</v>
      </c>
    </row>
    <row r="61" spans="1:14" x14ac:dyDescent="0.3">
      <c r="A61" s="25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M61" s="126" t="s">
        <v>259</v>
      </c>
    </row>
    <row r="62" spans="1:14" x14ac:dyDescent="0.3">
      <c r="A62" s="258">
        <f>G40</f>
        <v>406.80374999999998</v>
      </c>
      <c r="B62" s="258">
        <f>B45</f>
        <v>25</v>
      </c>
      <c r="C62" s="258">
        <f>C45</f>
        <v>500</v>
      </c>
      <c r="D62" s="258">
        <v>450</v>
      </c>
      <c r="E62" s="258">
        <v>450</v>
      </c>
      <c r="F62" s="258">
        <f>D62*E62</f>
        <v>202500</v>
      </c>
      <c r="G62" s="258"/>
      <c r="H62" s="258">
        <f>F62-I62</f>
        <v>200880</v>
      </c>
      <c r="I62" s="258">
        <f>D45*F62</f>
        <v>1620</v>
      </c>
      <c r="J62" s="258" t="s">
        <v>265</v>
      </c>
      <c r="K62" s="258"/>
    </row>
    <row r="63" spans="1:14" x14ac:dyDescent="0.3">
      <c r="A63" s="258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M63" s="126" t="s">
        <v>266</v>
      </c>
      <c r="N63" s="126">
        <f>314.16*8</f>
        <v>2513.2800000000002</v>
      </c>
    </row>
    <row r="65" spans="1:10" x14ac:dyDescent="0.3">
      <c r="A65" s="258" t="s">
        <v>62</v>
      </c>
      <c r="B65" s="258"/>
      <c r="C65" s="258"/>
      <c r="D65" s="258"/>
      <c r="E65" s="258"/>
      <c r="F65" s="258"/>
      <c r="G65" s="258"/>
      <c r="J65" s="126" t="s">
        <v>260</v>
      </c>
    </row>
    <row r="66" spans="1:10" x14ac:dyDescent="0.3">
      <c r="A66" s="258" t="s">
        <v>63</v>
      </c>
      <c r="B66" s="258" t="s">
        <v>64</v>
      </c>
      <c r="C66" s="258"/>
      <c r="D66" s="258"/>
      <c r="E66" s="258" t="s">
        <v>53</v>
      </c>
      <c r="F66" s="258" t="s">
        <v>65</v>
      </c>
      <c r="G66" s="258"/>
      <c r="J66" s="126" t="s">
        <v>261</v>
      </c>
    </row>
    <row r="67" spans="1:10" x14ac:dyDescent="0.3">
      <c r="A67" s="258"/>
      <c r="B67" s="126">
        <v>1</v>
      </c>
      <c r="C67" s="126">
        <v>2</v>
      </c>
      <c r="D67" s="126">
        <v>3</v>
      </c>
      <c r="E67" s="258"/>
      <c r="F67" s="258"/>
      <c r="G67" s="258"/>
    </row>
    <row r="68" spans="1:10" x14ac:dyDescent="0.3">
      <c r="A68" s="258">
        <v>6</v>
      </c>
      <c r="B68" s="258">
        <f>D62</f>
        <v>450</v>
      </c>
      <c r="C68" s="258">
        <f>16*20</f>
        <v>320</v>
      </c>
      <c r="D68" s="258">
        <v>300</v>
      </c>
      <c r="E68" s="258" t="s">
        <v>262</v>
      </c>
      <c r="F68" s="258" t="s">
        <v>263</v>
      </c>
      <c r="G68" s="258"/>
    </row>
    <row r="69" spans="1:10" x14ac:dyDescent="0.3">
      <c r="A69" s="258"/>
      <c r="B69" s="258"/>
      <c r="C69" s="258"/>
      <c r="D69" s="258"/>
      <c r="E69" s="258"/>
      <c r="F69" s="258"/>
      <c r="G69" s="258"/>
    </row>
    <row r="70" spans="1:10" ht="34.200000000000003" customHeight="1" x14ac:dyDescent="0.3">
      <c r="E70" s="258"/>
      <c r="F70" s="258"/>
      <c r="G70" s="258"/>
    </row>
    <row r="72" spans="1:10" x14ac:dyDescent="0.3">
      <c r="A72" s="258" t="s">
        <v>20</v>
      </c>
      <c r="B72" s="258"/>
      <c r="C72" s="258"/>
    </row>
    <row r="73" spans="1:10" x14ac:dyDescent="0.3">
      <c r="A73" s="258" t="s">
        <v>270</v>
      </c>
      <c r="B73" s="258"/>
      <c r="C73" s="258"/>
      <c r="D73" s="258"/>
    </row>
    <row r="74" spans="1:10" x14ac:dyDescent="0.3">
      <c r="A74" s="258" t="s">
        <v>21</v>
      </c>
      <c r="B74" s="258"/>
      <c r="C74" s="258"/>
    </row>
    <row r="76" spans="1:10" x14ac:dyDescent="0.3">
      <c r="A76" s="126" t="s">
        <v>22</v>
      </c>
      <c r="B76" s="126" t="s">
        <v>23</v>
      </c>
      <c r="C76" s="126" t="s">
        <v>246</v>
      </c>
      <c r="D76" s="126" t="s">
        <v>31</v>
      </c>
      <c r="E76" s="126" t="s">
        <v>32</v>
      </c>
      <c r="F76" s="126" t="s">
        <v>66</v>
      </c>
    </row>
    <row r="77" spans="1:10" x14ac:dyDescent="0.3">
      <c r="A77" s="126" t="s">
        <v>33</v>
      </c>
      <c r="B77" s="126" t="s">
        <v>34</v>
      </c>
      <c r="C77" s="126">
        <f>3.53</f>
        <v>3.53</v>
      </c>
      <c r="D77" s="126">
        <v>3.25</v>
      </c>
      <c r="E77" s="126">
        <v>4</v>
      </c>
      <c r="F77" s="126">
        <f>C77*D77*E77</f>
        <v>45.89</v>
      </c>
    </row>
    <row r="78" spans="1:10" x14ac:dyDescent="0.3">
      <c r="B78" s="126" t="s">
        <v>35</v>
      </c>
      <c r="C78" s="126">
        <v>3</v>
      </c>
      <c r="D78" s="126">
        <v>3.25</v>
      </c>
      <c r="E78" s="126">
        <v>4</v>
      </c>
      <c r="F78" s="126">
        <f>C78*D78*E78</f>
        <v>39</v>
      </c>
    </row>
    <row r="80" spans="1:10" x14ac:dyDescent="0.3">
      <c r="A80" s="258" t="s">
        <v>36</v>
      </c>
      <c r="B80" s="126" t="s">
        <v>34</v>
      </c>
      <c r="C80" s="126">
        <f>C77</f>
        <v>3.53</v>
      </c>
      <c r="D80" s="126">
        <v>3.25</v>
      </c>
      <c r="E80" s="126">
        <v>4</v>
      </c>
      <c r="F80" s="126">
        <f t="shared" ref="F80:F84" si="1">C80*D80*E80</f>
        <v>45.89</v>
      </c>
    </row>
    <row r="81" spans="1:6" x14ac:dyDescent="0.3">
      <c r="A81" s="258"/>
      <c r="B81" s="126" t="s">
        <v>35</v>
      </c>
      <c r="C81" s="126">
        <v>3</v>
      </c>
      <c r="D81" s="126">
        <v>3.25</v>
      </c>
      <c r="E81" s="126">
        <v>4</v>
      </c>
      <c r="F81" s="126">
        <f t="shared" si="1"/>
        <v>39</v>
      </c>
    </row>
    <row r="83" spans="1:6" x14ac:dyDescent="0.3">
      <c r="A83" s="258" t="s">
        <v>36</v>
      </c>
      <c r="B83" s="126" t="s">
        <v>34</v>
      </c>
      <c r="C83" s="126">
        <f>C77</f>
        <v>3.53</v>
      </c>
      <c r="D83" s="126">
        <v>3.25</v>
      </c>
      <c r="E83" s="126">
        <v>4</v>
      </c>
      <c r="F83" s="126">
        <f t="shared" si="1"/>
        <v>45.89</v>
      </c>
    </row>
    <row r="84" spans="1:6" x14ac:dyDescent="0.3">
      <c r="A84" s="258"/>
      <c r="B84" s="126" t="s">
        <v>35</v>
      </c>
      <c r="C84" s="126">
        <v>3</v>
      </c>
      <c r="D84" s="126">
        <v>3.25</v>
      </c>
      <c r="E84" s="126">
        <v>4</v>
      </c>
      <c r="F84" s="126">
        <f t="shared" si="1"/>
        <v>39</v>
      </c>
    </row>
    <row r="86" spans="1:6" x14ac:dyDescent="0.3">
      <c r="A86" s="126" t="s">
        <v>22</v>
      </c>
      <c r="B86" s="126" t="s">
        <v>23</v>
      </c>
      <c r="C86" s="126" t="s">
        <v>97</v>
      </c>
      <c r="D86" s="126" t="s">
        <v>31</v>
      </c>
      <c r="E86" s="126" t="s">
        <v>32</v>
      </c>
      <c r="F86" s="126" t="s">
        <v>66</v>
      </c>
    </row>
    <row r="87" spans="1:6" x14ac:dyDescent="0.3">
      <c r="A87" s="258" t="s">
        <v>33</v>
      </c>
      <c r="B87" s="258" t="s">
        <v>38</v>
      </c>
      <c r="C87" s="258">
        <v>11.44</v>
      </c>
      <c r="D87" s="126">
        <v>3.25</v>
      </c>
      <c r="E87" s="126">
        <v>0</v>
      </c>
      <c r="F87" s="126">
        <f>C87*D87</f>
        <v>37.18</v>
      </c>
    </row>
    <row r="88" spans="1:6" x14ac:dyDescent="0.3">
      <c r="A88" s="258"/>
      <c r="B88" s="258"/>
      <c r="C88" s="258"/>
      <c r="E88" s="126">
        <v>4</v>
      </c>
      <c r="F88" s="126">
        <f>C87*E88</f>
        <v>45.76</v>
      </c>
    </row>
    <row r="89" spans="1:6" x14ac:dyDescent="0.3">
      <c r="A89" s="258"/>
      <c r="B89" s="258" t="s">
        <v>39</v>
      </c>
      <c r="C89" s="258">
        <v>3</v>
      </c>
      <c r="D89" s="126">
        <v>3.25</v>
      </c>
      <c r="F89" s="126">
        <f>C89*D89</f>
        <v>9.75</v>
      </c>
    </row>
    <row r="90" spans="1:6" x14ac:dyDescent="0.3">
      <c r="A90" s="258"/>
      <c r="B90" s="258"/>
      <c r="C90" s="258"/>
      <c r="E90" s="126">
        <v>4</v>
      </c>
      <c r="F90" s="126">
        <f>C89*E90</f>
        <v>12</v>
      </c>
    </row>
    <row r="92" spans="1:6" x14ac:dyDescent="0.3">
      <c r="A92" s="258" t="s">
        <v>40</v>
      </c>
      <c r="B92" s="258" t="s">
        <v>38</v>
      </c>
      <c r="C92" s="258">
        <v>11.44</v>
      </c>
      <c r="D92" s="126">
        <v>3.25</v>
      </c>
      <c r="E92" s="126">
        <v>0</v>
      </c>
      <c r="F92" s="126">
        <f>C92*D92</f>
        <v>37.18</v>
      </c>
    </row>
    <row r="93" spans="1:6" x14ac:dyDescent="0.3">
      <c r="A93" s="258"/>
      <c r="B93" s="258"/>
      <c r="C93" s="258"/>
      <c r="E93" s="126">
        <v>4</v>
      </c>
      <c r="F93" s="126">
        <f>C92*E93</f>
        <v>45.76</v>
      </c>
    </row>
    <row r="94" spans="1:6" x14ac:dyDescent="0.3">
      <c r="A94" s="258"/>
      <c r="B94" s="258" t="s">
        <v>39</v>
      </c>
      <c r="C94" s="258">
        <v>3</v>
      </c>
      <c r="D94" s="126">
        <v>3.25</v>
      </c>
      <c r="F94" s="126">
        <f>C94*D94</f>
        <v>9.75</v>
      </c>
    </row>
    <row r="95" spans="1:6" x14ac:dyDescent="0.3">
      <c r="A95" s="258"/>
      <c r="B95" s="258"/>
      <c r="C95" s="258"/>
      <c r="E95" s="126">
        <v>4</v>
      </c>
      <c r="F95" s="126">
        <f>C94*E95</f>
        <v>12</v>
      </c>
    </row>
    <row r="97" spans="1:12" x14ac:dyDescent="0.3">
      <c r="A97" s="258" t="s">
        <v>374</v>
      </c>
      <c r="B97" s="258" t="s">
        <v>38</v>
      </c>
      <c r="C97" s="258">
        <v>11.44</v>
      </c>
      <c r="D97" s="126">
        <v>3.25</v>
      </c>
      <c r="E97" s="126">
        <v>0</v>
      </c>
      <c r="F97" s="126">
        <f>C97*D97</f>
        <v>37.18</v>
      </c>
    </row>
    <row r="98" spans="1:12" x14ac:dyDescent="0.3">
      <c r="A98" s="258"/>
      <c r="B98" s="258"/>
      <c r="C98" s="258"/>
      <c r="E98" s="126">
        <v>4</v>
      </c>
      <c r="F98" s="126">
        <f>C97*E98</f>
        <v>45.76</v>
      </c>
    </row>
    <row r="99" spans="1:12" x14ac:dyDescent="0.3">
      <c r="A99" s="258"/>
      <c r="B99" s="258" t="s">
        <v>39</v>
      </c>
      <c r="C99" s="258">
        <v>3</v>
      </c>
      <c r="D99" s="126">
        <v>3.25</v>
      </c>
      <c r="F99" s="126">
        <f>D99*C99</f>
        <v>9.75</v>
      </c>
    </row>
    <row r="100" spans="1:12" x14ac:dyDescent="0.3">
      <c r="A100" s="258"/>
      <c r="B100" s="258"/>
      <c r="C100" s="258"/>
      <c r="E100" s="126">
        <v>4</v>
      </c>
      <c r="F100" s="126">
        <f>C99*E100</f>
        <v>12</v>
      </c>
    </row>
    <row r="101" spans="1:12" x14ac:dyDescent="0.3">
      <c r="D101" s="258"/>
      <c r="E101" s="258"/>
    </row>
    <row r="102" spans="1:12" x14ac:dyDescent="0.3">
      <c r="A102" s="126" t="s">
        <v>22</v>
      </c>
      <c r="B102" s="126" t="s">
        <v>23</v>
      </c>
      <c r="C102" s="126" t="s">
        <v>245</v>
      </c>
      <c r="D102" s="126" t="s">
        <v>24</v>
      </c>
      <c r="E102" s="126" t="s">
        <v>25</v>
      </c>
      <c r="F102" s="126" t="s">
        <v>41</v>
      </c>
    </row>
    <row r="103" spans="1:12" x14ac:dyDescent="0.3">
      <c r="A103" s="126" t="s">
        <v>33</v>
      </c>
      <c r="B103" s="258" t="s">
        <v>42</v>
      </c>
      <c r="C103" s="126">
        <v>25</v>
      </c>
      <c r="D103" s="126">
        <v>3</v>
      </c>
      <c r="E103" s="126">
        <v>0.4</v>
      </c>
      <c r="F103" s="126">
        <v>0.4</v>
      </c>
      <c r="G103" s="126">
        <f>C103*D103*E103*F103</f>
        <v>12</v>
      </c>
    </row>
    <row r="104" spans="1:12" x14ac:dyDescent="0.3">
      <c r="A104" s="126" t="s">
        <v>36</v>
      </c>
      <c r="B104" s="258"/>
      <c r="C104" s="126">
        <v>25</v>
      </c>
      <c r="D104" s="126">
        <v>3</v>
      </c>
      <c r="E104" s="126">
        <v>0.4</v>
      </c>
      <c r="F104" s="126">
        <v>0.4</v>
      </c>
      <c r="G104" s="126">
        <f t="shared" ref="G104:G105" si="2">C104*D104*E104*F104</f>
        <v>12</v>
      </c>
    </row>
    <row r="105" spans="1:12" x14ac:dyDescent="0.3">
      <c r="A105" s="126" t="s">
        <v>37</v>
      </c>
      <c r="B105" s="258"/>
      <c r="C105" s="126">
        <v>25</v>
      </c>
      <c r="D105" s="126">
        <v>3</v>
      </c>
      <c r="E105" s="126">
        <v>0.4</v>
      </c>
      <c r="F105" s="126">
        <v>0.4</v>
      </c>
      <c r="G105" s="126">
        <f t="shared" si="2"/>
        <v>12</v>
      </c>
    </row>
    <row r="107" spans="1:12" x14ac:dyDescent="0.3">
      <c r="C107" s="258" t="s">
        <v>43</v>
      </c>
      <c r="D107" s="258"/>
      <c r="E107" s="258"/>
      <c r="G107" s="126">
        <f>SUM(F77,F78,F80,F81,F83,F84,F87,F88,F89,F90,F92,F93,F94,F95,F97,F98,F99,F100,G103,G104,G105)</f>
        <v>604.74</v>
      </c>
    </row>
    <row r="108" spans="1:12" x14ac:dyDescent="0.3">
      <c r="C108" s="258" t="s">
        <v>44</v>
      </c>
      <c r="D108" s="258"/>
      <c r="E108" s="258"/>
      <c r="G108" s="126">
        <f>1.5*G107</f>
        <v>907.11</v>
      </c>
    </row>
    <row r="110" spans="1:12" x14ac:dyDescent="0.3">
      <c r="A110" s="258" t="s">
        <v>67</v>
      </c>
      <c r="B110" s="258"/>
      <c r="C110" s="258"/>
      <c r="D110" s="258"/>
      <c r="E110" s="258"/>
      <c r="F110" s="258"/>
      <c r="G110" s="258"/>
      <c r="H110" s="258"/>
    </row>
    <row r="111" spans="1:12" x14ac:dyDescent="0.3">
      <c r="A111" s="258" t="s">
        <v>264</v>
      </c>
      <c r="B111" s="258"/>
      <c r="C111" s="258"/>
      <c r="D111" s="258"/>
      <c r="E111" s="258"/>
      <c r="F111" s="258"/>
    </row>
    <row r="112" spans="1:12" x14ac:dyDescent="0.3">
      <c r="A112" s="126" t="s">
        <v>46</v>
      </c>
      <c r="B112" s="126" t="s">
        <v>47</v>
      </c>
      <c r="C112" s="126" t="s">
        <v>48</v>
      </c>
      <c r="D112" s="126" t="s">
        <v>49</v>
      </c>
      <c r="E112" s="258" t="s">
        <v>50</v>
      </c>
      <c r="F112" s="258"/>
      <c r="G112" s="126" t="s">
        <v>51</v>
      </c>
      <c r="H112" s="126" t="s">
        <v>57</v>
      </c>
      <c r="I112" s="258" t="s">
        <v>6</v>
      </c>
      <c r="J112" s="258"/>
      <c r="L112" s="126" t="s">
        <v>248</v>
      </c>
    </row>
    <row r="113" spans="1:13" x14ac:dyDescent="0.3">
      <c r="A113" s="258">
        <f>G108</f>
        <v>907.11</v>
      </c>
      <c r="B113" s="258">
        <v>25</v>
      </c>
      <c r="C113" s="258">
        <v>500</v>
      </c>
      <c r="D113" s="258">
        <v>0.01</v>
      </c>
      <c r="E113" s="258">
        <f>(A113*1000)/((0.4*B113)+(0.67*C113*D113))</f>
        <v>67948.31460674158</v>
      </c>
      <c r="F113" s="258"/>
      <c r="G113" s="258">
        <f>SQRT(E113)</f>
        <v>260.66897515189947</v>
      </c>
      <c r="H113" s="258">
        <f>SQRT(E113)</f>
        <v>260.66897515189947</v>
      </c>
      <c r="I113" s="258" t="s">
        <v>251</v>
      </c>
      <c r="J113" s="258"/>
      <c r="L113" s="126" t="s">
        <v>249</v>
      </c>
    </row>
    <row r="114" spans="1:13" x14ac:dyDescent="0.3">
      <c r="A114" s="258"/>
      <c r="B114" s="258"/>
      <c r="C114" s="258"/>
      <c r="D114" s="258"/>
      <c r="E114" s="258"/>
      <c r="F114" s="258"/>
      <c r="G114" s="258"/>
      <c r="H114" s="258"/>
      <c r="I114" s="258"/>
      <c r="J114" s="258"/>
    </row>
    <row r="115" spans="1:13" x14ac:dyDescent="0.3">
      <c r="A115" s="258" t="s">
        <v>53</v>
      </c>
      <c r="B115" s="258" t="s">
        <v>252</v>
      </c>
      <c r="C115" s="258"/>
      <c r="D115" s="258"/>
      <c r="E115" s="258"/>
      <c r="F115" s="258"/>
      <c r="G115" s="258"/>
      <c r="H115" s="258"/>
      <c r="I115" s="258"/>
      <c r="J115" s="258"/>
    </row>
    <row r="116" spans="1:13" x14ac:dyDescent="0.3">
      <c r="A116" s="258"/>
      <c r="B116" s="258"/>
      <c r="C116" s="258"/>
      <c r="D116" s="258"/>
      <c r="E116" s="258"/>
      <c r="F116" s="258"/>
      <c r="G116" s="258"/>
      <c r="H116" s="258"/>
      <c r="I116" s="258"/>
      <c r="J116" s="258"/>
    </row>
    <row r="118" spans="1:13" x14ac:dyDescent="0.3">
      <c r="A118" s="258" t="s">
        <v>54</v>
      </c>
      <c r="B118" s="258"/>
      <c r="C118" s="258"/>
      <c r="D118" s="258"/>
      <c r="E118" s="258"/>
      <c r="F118" s="258"/>
      <c r="G118" s="258"/>
      <c r="H118" s="258"/>
    </row>
    <row r="119" spans="1:13" x14ac:dyDescent="0.3">
      <c r="A119" s="258" t="s">
        <v>55</v>
      </c>
      <c r="B119" s="258"/>
      <c r="C119" s="258" t="s">
        <v>56</v>
      </c>
      <c r="D119" s="258" t="s">
        <v>57</v>
      </c>
      <c r="E119" s="258" t="s">
        <v>253</v>
      </c>
      <c r="F119" s="258"/>
      <c r="G119" s="258" t="s">
        <v>254</v>
      </c>
      <c r="H119" s="258"/>
    </row>
    <row r="120" spans="1:13" ht="39.6" customHeight="1" x14ac:dyDescent="0.3">
      <c r="A120" s="258"/>
      <c r="B120" s="258"/>
      <c r="C120" s="258"/>
      <c r="D120" s="258"/>
      <c r="E120" s="258"/>
      <c r="F120" s="258"/>
      <c r="G120" s="258"/>
      <c r="H120" s="258"/>
      <c r="K120" s="126" t="s">
        <v>255</v>
      </c>
    </row>
    <row r="121" spans="1:13" x14ac:dyDescent="0.3">
      <c r="A121" s="258">
        <v>3</v>
      </c>
      <c r="B121" s="258"/>
      <c r="C121" s="258">
        <v>300</v>
      </c>
      <c r="D121" s="258">
        <v>300</v>
      </c>
      <c r="E121" s="258">
        <f>((A121*1000)/500)+(C121/30)</f>
        <v>16</v>
      </c>
      <c r="F121" s="258"/>
      <c r="G121" s="258">
        <v>20</v>
      </c>
      <c r="H121" s="258"/>
      <c r="K121" s="126" t="s">
        <v>256</v>
      </c>
      <c r="L121" s="126">
        <f xml:space="preserve"> 21</f>
        <v>21</v>
      </c>
      <c r="M121" s="126" t="s">
        <v>257</v>
      </c>
    </row>
    <row r="122" spans="1:13" x14ac:dyDescent="0.3">
      <c r="A122" s="258"/>
      <c r="B122" s="258"/>
      <c r="C122" s="258"/>
      <c r="D122" s="258"/>
      <c r="E122" s="258"/>
      <c r="F122" s="258"/>
      <c r="G122" s="258"/>
      <c r="H122" s="258"/>
    </row>
    <row r="123" spans="1:13" x14ac:dyDescent="0.3">
      <c r="C123" s="258" t="s">
        <v>58</v>
      </c>
      <c r="D123" s="258"/>
      <c r="E123" s="258" t="str">
        <f>IF(E121&gt;G121,"check is ok","re design")</f>
        <v>re design</v>
      </c>
      <c r="F123" s="258"/>
      <c r="G123" s="258"/>
      <c r="H123" s="258"/>
    </row>
    <row r="124" spans="1:13" x14ac:dyDescent="0.3">
      <c r="C124" s="258"/>
      <c r="D124" s="258"/>
      <c r="E124" s="258"/>
      <c r="F124" s="258"/>
      <c r="G124" s="258"/>
      <c r="H124" s="258"/>
    </row>
    <row r="126" spans="1:13" x14ac:dyDescent="0.3">
      <c r="A126" s="258" t="s">
        <v>59</v>
      </c>
      <c r="B126" s="258"/>
      <c r="C126" s="258"/>
      <c r="D126" s="258"/>
      <c r="E126" s="258"/>
      <c r="F126" s="258"/>
      <c r="G126" s="258"/>
      <c r="H126" s="258"/>
    </row>
    <row r="127" spans="1:13" x14ac:dyDescent="0.3">
      <c r="A127" s="258" t="s">
        <v>46</v>
      </c>
      <c r="B127" s="258" t="s">
        <v>47</v>
      </c>
      <c r="C127" s="258" t="s">
        <v>48</v>
      </c>
      <c r="D127" s="258" t="s">
        <v>56</v>
      </c>
      <c r="E127" s="258" t="s">
        <v>57</v>
      </c>
      <c r="F127" s="258" t="s">
        <v>50</v>
      </c>
      <c r="G127" s="258"/>
      <c r="H127" s="258" t="s">
        <v>60</v>
      </c>
      <c r="I127" s="258" t="s">
        <v>49</v>
      </c>
      <c r="J127" s="258" t="s">
        <v>61</v>
      </c>
      <c r="K127" s="258"/>
      <c r="M127" s="126" t="s">
        <v>258</v>
      </c>
    </row>
    <row r="128" spans="1:13" x14ac:dyDescent="0.3">
      <c r="A128" s="258"/>
      <c r="B128" s="258"/>
      <c r="C128" s="258"/>
      <c r="D128" s="258"/>
      <c r="E128" s="258"/>
      <c r="F128" s="258"/>
      <c r="G128" s="258"/>
      <c r="H128" s="258"/>
      <c r="I128" s="258"/>
      <c r="J128" s="258"/>
      <c r="K128" s="258"/>
      <c r="M128" s="126" t="s">
        <v>259</v>
      </c>
    </row>
    <row r="129" spans="1:14" x14ac:dyDescent="0.3">
      <c r="A129" s="258">
        <f>G108</f>
        <v>907.11</v>
      </c>
      <c r="B129" s="258">
        <f>B113</f>
        <v>25</v>
      </c>
      <c r="C129" s="258">
        <f>C113</f>
        <v>500</v>
      </c>
      <c r="D129" s="258">
        <v>450</v>
      </c>
      <c r="E129" s="258">
        <v>450</v>
      </c>
      <c r="F129" s="258">
        <f>D129*E129</f>
        <v>202500</v>
      </c>
      <c r="G129" s="258"/>
      <c r="H129" s="258">
        <f>F129-I129</f>
        <v>200475</v>
      </c>
      <c r="I129" s="258">
        <f>F129*D113</f>
        <v>2025</v>
      </c>
      <c r="J129" s="258" t="s">
        <v>265</v>
      </c>
      <c r="K129" s="258"/>
    </row>
    <row r="130" spans="1:14" x14ac:dyDescent="0.3">
      <c r="A130" s="258"/>
      <c r="B130" s="258"/>
      <c r="C130" s="258"/>
      <c r="D130" s="258"/>
      <c r="E130" s="258"/>
      <c r="F130" s="258"/>
      <c r="G130" s="258"/>
      <c r="H130" s="258"/>
      <c r="I130" s="258"/>
      <c r="J130" s="258"/>
      <c r="K130" s="258"/>
      <c r="M130" s="126" t="s">
        <v>266</v>
      </c>
      <c r="N130" s="126">
        <f>314.16*8</f>
        <v>2513.2800000000002</v>
      </c>
    </row>
    <row r="132" spans="1:14" x14ac:dyDescent="0.3">
      <c r="A132" s="258" t="s">
        <v>62</v>
      </c>
      <c r="B132" s="258"/>
      <c r="C132" s="258"/>
      <c r="D132" s="258"/>
      <c r="E132" s="258"/>
      <c r="F132" s="258"/>
      <c r="G132" s="258"/>
      <c r="J132" s="126" t="s">
        <v>268</v>
      </c>
    </row>
    <row r="133" spans="1:14" x14ac:dyDescent="0.3">
      <c r="A133" s="258" t="s">
        <v>63</v>
      </c>
      <c r="B133" s="258" t="s">
        <v>64</v>
      </c>
      <c r="C133" s="258"/>
      <c r="D133" s="258"/>
      <c r="E133" s="258" t="s">
        <v>53</v>
      </c>
      <c r="F133" s="258" t="s">
        <v>65</v>
      </c>
      <c r="G133" s="258"/>
      <c r="J133" s="126" t="s">
        <v>267</v>
      </c>
    </row>
    <row r="134" spans="1:14" x14ac:dyDescent="0.3">
      <c r="A134" s="258"/>
      <c r="B134" s="126">
        <v>1</v>
      </c>
      <c r="C134" s="126">
        <v>2</v>
      </c>
      <c r="D134" s="126">
        <v>3</v>
      </c>
      <c r="E134" s="258"/>
      <c r="F134" s="258"/>
      <c r="G134" s="258"/>
    </row>
    <row r="135" spans="1:14" x14ac:dyDescent="0.3">
      <c r="A135" s="258">
        <v>6</v>
      </c>
      <c r="B135" s="258">
        <f>D129</f>
        <v>450</v>
      </c>
      <c r="C135" s="258">
        <f>16*20</f>
        <v>320</v>
      </c>
      <c r="D135" s="258">
        <v>300</v>
      </c>
      <c r="E135" s="258" t="s">
        <v>262</v>
      </c>
      <c r="F135" s="258" t="s">
        <v>263</v>
      </c>
      <c r="G135" s="258"/>
    </row>
    <row r="136" spans="1:14" x14ac:dyDescent="0.3">
      <c r="A136" s="258"/>
      <c r="B136" s="258"/>
      <c r="C136" s="258"/>
      <c r="D136" s="258"/>
      <c r="E136" s="258"/>
      <c r="F136" s="258"/>
      <c r="G136" s="258"/>
    </row>
    <row r="137" spans="1:14" ht="32.4" customHeight="1" x14ac:dyDescent="0.3">
      <c r="E137" s="258"/>
      <c r="F137" s="258"/>
      <c r="G137" s="258"/>
    </row>
  </sheetData>
  <mergeCells count="167">
    <mergeCell ref="A135:A136"/>
    <mergeCell ref="B135:B136"/>
    <mergeCell ref="C135:C136"/>
    <mergeCell ref="D135:D136"/>
    <mergeCell ref="E135:E137"/>
    <mergeCell ref="F135:G137"/>
    <mergeCell ref="J129:K130"/>
    <mergeCell ref="A132:G132"/>
    <mergeCell ref="A133:A134"/>
    <mergeCell ref="B133:D133"/>
    <mergeCell ref="E133:E134"/>
    <mergeCell ref="F133:G134"/>
    <mergeCell ref="I127:I128"/>
    <mergeCell ref="J127:K128"/>
    <mergeCell ref="A129:A130"/>
    <mergeCell ref="B129:B130"/>
    <mergeCell ref="C129:C130"/>
    <mergeCell ref="D129:D130"/>
    <mergeCell ref="E129:E130"/>
    <mergeCell ref="F129:G130"/>
    <mergeCell ref="H129:H130"/>
    <mergeCell ref="I129:I130"/>
    <mergeCell ref="A118:H118"/>
    <mergeCell ref="A119:B120"/>
    <mergeCell ref="C119:C120"/>
    <mergeCell ref="D119:D120"/>
    <mergeCell ref="E119:F120"/>
    <mergeCell ref="G119:H120"/>
    <mergeCell ref="E112:F112"/>
    <mergeCell ref="A126:H126"/>
    <mergeCell ref="A127:A128"/>
    <mergeCell ref="B127:B128"/>
    <mergeCell ref="C127:C128"/>
    <mergeCell ref="D127:D128"/>
    <mergeCell ref="E127:E128"/>
    <mergeCell ref="F127:G128"/>
    <mergeCell ref="H127:H128"/>
    <mergeCell ref="A121:B122"/>
    <mergeCell ref="C121:C122"/>
    <mergeCell ref="D121:D122"/>
    <mergeCell ref="E121:F122"/>
    <mergeCell ref="G121:H122"/>
    <mergeCell ref="C123:D124"/>
    <mergeCell ref="E123:F124"/>
    <mergeCell ref="G123:H124"/>
    <mergeCell ref="I112:J112"/>
    <mergeCell ref="A113:A114"/>
    <mergeCell ref="B113:B114"/>
    <mergeCell ref="C113:C114"/>
    <mergeCell ref="D113:D114"/>
    <mergeCell ref="E113:F114"/>
    <mergeCell ref="G113:G114"/>
    <mergeCell ref="H113:H114"/>
    <mergeCell ref="I113:J116"/>
    <mergeCell ref="A115:A116"/>
    <mergeCell ref="B115:H116"/>
    <mergeCell ref="D101:E101"/>
    <mergeCell ref="B103:B105"/>
    <mergeCell ref="C107:E107"/>
    <mergeCell ref="C108:E108"/>
    <mergeCell ref="A110:H110"/>
    <mergeCell ref="A111:F111"/>
    <mergeCell ref="A92:A95"/>
    <mergeCell ref="B92:B93"/>
    <mergeCell ref="C92:C93"/>
    <mergeCell ref="B94:B95"/>
    <mergeCell ref="C94:C95"/>
    <mergeCell ref="A97:A100"/>
    <mergeCell ref="B97:B98"/>
    <mergeCell ref="C97:C98"/>
    <mergeCell ref="B99:B100"/>
    <mergeCell ref="C99:C100"/>
    <mergeCell ref="A74:C74"/>
    <mergeCell ref="A80:A81"/>
    <mergeCell ref="A83:A84"/>
    <mergeCell ref="A87:A90"/>
    <mergeCell ref="B87:B88"/>
    <mergeCell ref="C87:C88"/>
    <mergeCell ref="B89:B90"/>
    <mergeCell ref="C89:C90"/>
    <mergeCell ref="C68:C69"/>
    <mergeCell ref="D68:D69"/>
    <mergeCell ref="E68:E70"/>
    <mergeCell ref="F68:G70"/>
    <mergeCell ref="A72:C72"/>
    <mergeCell ref="A73:D73"/>
    <mergeCell ref="I62:I63"/>
    <mergeCell ref="J62:K63"/>
    <mergeCell ref="A65:G65"/>
    <mergeCell ref="A66:A67"/>
    <mergeCell ref="B66:D66"/>
    <mergeCell ref="E66:E67"/>
    <mergeCell ref="F66:G67"/>
    <mergeCell ref="H60:H61"/>
    <mergeCell ref="I60:I61"/>
    <mergeCell ref="J60:K61"/>
    <mergeCell ref="A62:A63"/>
    <mergeCell ref="B62:B63"/>
    <mergeCell ref="C62:C63"/>
    <mergeCell ref="D62:D63"/>
    <mergeCell ref="E62:E63"/>
    <mergeCell ref="F62:G63"/>
    <mergeCell ref="H62:H63"/>
    <mergeCell ref="A60:A61"/>
    <mergeCell ref="B60:B61"/>
    <mergeCell ref="C60:C61"/>
    <mergeCell ref="D60:D61"/>
    <mergeCell ref="E60:E61"/>
    <mergeCell ref="F60:G61"/>
    <mergeCell ref="D54:D55"/>
    <mergeCell ref="E54:F55"/>
    <mergeCell ref="G54:H55"/>
    <mergeCell ref="C56:D57"/>
    <mergeCell ref="E56:F57"/>
    <mergeCell ref="G56:H57"/>
    <mergeCell ref="I51:L51"/>
    <mergeCell ref="A52:B53"/>
    <mergeCell ref="C52:C53"/>
    <mergeCell ref="D52:D53"/>
    <mergeCell ref="E52:F53"/>
    <mergeCell ref="G52:H53"/>
    <mergeCell ref="E44:F44"/>
    <mergeCell ref="I44:J44"/>
    <mergeCell ref="C45:C46"/>
    <mergeCell ref="D45:D46"/>
    <mergeCell ref="E45:F46"/>
    <mergeCell ref="G45:G46"/>
    <mergeCell ref="H45:H46"/>
    <mergeCell ref="I45:J49"/>
    <mergeCell ref="B47:H49"/>
    <mergeCell ref="C40:E40"/>
    <mergeCell ref="A42:J42"/>
    <mergeCell ref="A43:H43"/>
    <mergeCell ref="B21:B22"/>
    <mergeCell ref="C21:C22"/>
    <mergeCell ref="A24:A27"/>
    <mergeCell ref="C24:C25"/>
    <mergeCell ref="C26:C27"/>
    <mergeCell ref="A29:A32"/>
    <mergeCell ref="B29:B30"/>
    <mergeCell ref="C29:C30"/>
    <mergeCell ref="B31:B32"/>
    <mergeCell ref="C31:C32"/>
    <mergeCell ref="A1:C1"/>
    <mergeCell ref="A2:C2"/>
    <mergeCell ref="A4:A5"/>
    <mergeCell ref="A9:A10"/>
    <mergeCell ref="A12:A13"/>
    <mergeCell ref="A15:A16"/>
    <mergeCell ref="A68:A69"/>
    <mergeCell ref="B68:B69"/>
    <mergeCell ref="A54:B55"/>
    <mergeCell ref="C54:C55"/>
    <mergeCell ref="A59:H59"/>
    <mergeCell ref="A45:A46"/>
    <mergeCell ref="B45:B46"/>
    <mergeCell ref="A47:A49"/>
    <mergeCell ref="A51:H51"/>
    <mergeCell ref="B24:B25"/>
    <mergeCell ref="B26:B27"/>
    <mergeCell ref="D6:E6"/>
    <mergeCell ref="A19:A22"/>
    <mergeCell ref="B19:B20"/>
    <mergeCell ref="C19:C20"/>
    <mergeCell ref="D33:E33"/>
    <mergeCell ref="B35:B37"/>
    <mergeCell ref="C39:E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Slab design</vt:lpstr>
      <vt:lpstr>Beam Design</vt:lpstr>
      <vt:lpstr>Column design</vt:lpstr>
      <vt:lpstr>Footing design</vt:lpstr>
      <vt:lpstr>Sheet1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</dc:creator>
  <cp:lastModifiedBy>ASUS</cp:lastModifiedBy>
  <cp:revision/>
  <dcterms:created xsi:type="dcterms:W3CDTF">2022-04-03T13:56:48Z</dcterms:created>
  <dcterms:modified xsi:type="dcterms:W3CDTF">2023-02-08T20:08:42Z</dcterms:modified>
</cp:coreProperties>
</file>