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emilykaiser/Desktop/EC - accidents work/"/>
    </mc:Choice>
  </mc:AlternateContent>
  <xr:revisionPtr revIDLastSave="0" documentId="13_ncr:1_{49EB2573-7CDA-5445-A8DF-F6FF770C6FD1}" xr6:coauthVersionLast="45" xr6:coauthVersionMax="45" xr10:uidLastSave="{00000000-0000-0000-0000-000000000000}"/>
  <bookViews>
    <workbookView xWindow="1300" yWindow="1300" windowWidth="22440" windowHeight="14080" xr2:uid="{AAC28868-0ABF-9940-B594-4A5C99BE0906}"/>
  </bookViews>
  <sheets>
    <sheet name="definitions+dictionari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9" i="1" l="1" a="1"/>
  <c r="C9" i="1" s="1"/>
  <c r="C8" i="1" a="1"/>
  <c r="C8" i="1" s="1"/>
  <c r="C7" i="1" a="1"/>
  <c r="C7" i="1" s="1"/>
  <c r="C6" i="1" a="1"/>
  <c r="C6" i="1" s="1"/>
  <c r="C5" i="1" a="1"/>
  <c r="C5" i="1"/>
  <c r="C4" i="1" a="1"/>
  <c r="C4" i="1" s="1"/>
  <c r="C3" i="1" a="1"/>
  <c r="C3" i="1" s="1"/>
  <c r="C13" i="1" a="1"/>
  <c r="C13" i="1" s="1"/>
  <c r="C12" i="1" a="1"/>
  <c r="C12" i="1" s="1"/>
  <c r="C11" i="1" a="1"/>
  <c r="C11" i="1" s="1"/>
  <c r="D52" i="1" a="1"/>
  <c r="D52" i="1" s="1"/>
  <c r="D53" i="1" a="1"/>
  <c r="D53" i="1" s="1"/>
  <c r="C53" i="1" a="1"/>
  <c r="C53" i="1" s="1"/>
  <c r="C52" i="1" a="1"/>
  <c r="C52" i="1" s="1"/>
  <c r="C49" i="1" a="1"/>
  <c r="C49" i="1" s="1"/>
  <c r="C48" i="1" a="1"/>
  <c r="C48" i="1" s="1"/>
  <c r="D47" i="1" a="1"/>
  <c r="D47" i="1" s="1"/>
  <c r="C47" i="1" a="1"/>
  <c r="C47" i="1" s="1"/>
  <c r="D55" i="1" a="1"/>
  <c r="D55" i="1" s="1"/>
  <c r="C55" i="1" a="1"/>
  <c r="C55" i="1" s="1"/>
  <c r="C85" i="1" l="1" a="1"/>
  <c r="C85" i="1"/>
  <c r="D85" i="1" a="1"/>
  <c r="D85" i="1" s="1"/>
  <c r="D80" i="1" a="1"/>
  <c r="D80" i="1" s="1"/>
  <c r="D84" i="1" a="1"/>
  <c r="D84" i="1" s="1"/>
  <c r="C84" i="1" a="1"/>
  <c r="C84" i="1" s="1"/>
  <c r="D83" i="1"/>
  <c r="C83" i="1"/>
  <c r="C83" i="1" a="1"/>
  <c r="D82" i="1"/>
  <c r="D82" i="1" a="1"/>
  <c r="C82" i="1" a="1"/>
  <c r="C82" i="1" s="1"/>
  <c r="D81" i="1"/>
  <c r="D81" i="1" a="1"/>
  <c r="C81" i="1" a="1"/>
  <c r="C81" i="1" s="1"/>
  <c r="C80" i="1" a="1"/>
  <c r="C80" i="1" s="1"/>
  <c r="D79" i="1" a="1"/>
  <c r="D79" i="1" s="1"/>
  <c r="C79" i="1" a="1"/>
  <c r="C79" i="1" s="1"/>
  <c r="D78" i="1" a="1"/>
  <c r="D78" i="1" s="1"/>
  <c r="C78" i="1" a="1"/>
  <c r="C78" i="1" s="1"/>
  <c r="D77" i="1"/>
  <c r="C77" i="1"/>
  <c r="C77" i="1" a="1"/>
  <c r="D76" i="1"/>
  <c r="D76" i="1" a="1"/>
  <c r="D75" i="1" a="1"/>
  <c r="D75" i="1" s="1"/>
  <c r="C75" i="1"/>
  <c r="C75" i="1" a="1"/>
  <c r="D74" i="1" a="1"/>
  <c r="D74" i="1" s="1"/>
  <c r="C74" i="1"/>
  <c r="C74" i="1" a="1"/>
  <c r="D73" i="1" a="1"/>
  <c r="D73" i="1" s="1"/>
  <c r="C73" i="1"/>
  <c r="C73" i="1" a="1"/>
  <c r="D72" i="1" a="1"/>
  <c r="D72" i="1" s="1"/>
  <c r="C72" i="1"/>
  <c r="D71" i="1"/>
  <c r="D71" i="1" a="1"/>
  <c r="C71" i="1"/>
  <c r="D70" i="1"/>
  <c r="D70" i="1" a="1"/>
  <c r="C70" i="1" a="1"/>
  <c r="C70" i="1" s="1"/>
  <c r="D69" i="1"/>
  <c r="D69" i="1" a="1"/>
  <c r="C69" i="1" a="1"/>
  <c r="C69" i="1" s="1"/>
  <c r="D68" i="1"/>
  <c r="D68" i="1" a="1"/>
  <c r="C68" i="1" a="1"/>
  <c r="C68" i="1" s="1"/>
  <c r="D67" i="1"/>
  <c r="D67" i="1" a="1"/>
  <c r="D66" i="1" a="1"/>
  <c r="D66" i="1" s="1"/>
  <c r="D65" i="1" a="1"/>
  <c r="D65" i="1" s="1"/>
  <c r="C65" i="1"/>
  <c r="C65" i="1" a="1"/>
  <c r="C64" i="1" a="1"/>
  <c r="C64" i="1" s="1"/>
  <c r="D63" i="1"/>
  <c r="D63" i="1" a="1"/>
  <c r="C63" i="1" a="1"/>
  <c r="C63" i="1" s="1"/>
  <c r="D62" i="1"/>
  <c r="D62" i="1" a="1"/>
  <c r="C62" i="1" a="1"/>
  <c r="C62" i="1" s="1"/>
  <c r="D61" i="1"/>
  <c r="D61" i="1" a="1"/>
  <c r="C61" i="1" a="1"/>
  <c r="C61" i="1" s="1"/>
  <c r="D60" i="1"/>
  <c r="D60" i="1" a="1"/>
  <c r="C60" i="1" a="1"/>
  <c r="C60" i="1" s="1"/>
  <c r="C66" i="1" s="1" a="1"/>
  <c r="C66" i="1" s="1"/>
  <c r="D59" i="1"/>
  <c r="D59" i="1" a="1"/>
  <c r="C59" i="1" a="1"/>
  <c r="C59" i="1" s="1"/>
  <c r="D58" i="1"/>
  <c r="D58" i="1" a="1"/>
  <c r="C58" i="1" a="1"/>
  <c r="C58" i="1" s="1"/>
  <c r="D57" i="1"/>
  <c r="D57" i="1" a="1"/>
  <c r="C56" i="1" a="1"/>
  <c r="C56" i="1" s="1"/>
  <c r="C44" i="1" a="1"/>
  <c r="C44" i="1" s="1"/>
  <c r="D43" i="1" a="1"/>
  <c r="D43" i="1" s="1"/>
  <c r="C43" i="1" a="1"/>
  <c r="C43" i="1" s="1"/>
  <c r="D42" i="1" a="1"/>
  <c r="D42" i="1" s="1"/>
  <c r="C42" i="1" a="1"/>
  <c r="C42" i="1" s="1"/>
  <c r="C38" i="1" a="1"/>
  <c r="C38" i="1"/>
  <c r="D40" i="1" a="1"/>
  <c r="D40" i="1" s="1"/>
  <c r="C40" i="1" a="1"/>
  <c r="C40" i="1" s="1"/>
  <c r="D39" i="1" a="1"/>
  <c r="D39" i="1" s="1"/>
  <c r="C37" i="1" a="1"/>
  <c r="C37" i="1" s="1"/>
  <c r="D36" i="1" a="1"/>
  <c r="D36" i="1" s="1"/>
  <c r="C36" i="1" a="1"/>
  <c r="C36" i="1" s="1"/>
  <c r="D35" i="1" a="1"/>
  <c r="D35" i="1" s="1"/>
  <c r="C35" i="1" a="1"/>
  <c r="C35" i="1" s="1"/>
  <c r="D33" i="1" a="1"/>
  <c r="D33" i="1" s="1"/>
  <c r="C33" i="1" a="1"/>
  <c r="C33" i="1" s="1"/>
  <c r="D32" i="1" a="1"/>
  <c r="D32" i="1" s="1"/>
  <c r="C32" i="1" a="1"/>
  <c r="C32" i="1" s="1"/>
  <c r="D31" i="1" a="1"/>
  <c r="D31" i="1" s="1"/>
  <c r="C31" i="1" a="1"/>
  <c r="C31" i="1" s="1"/>
  <c r="D30" i="1" a="1"/>
  <c r="D30" i="1" s="1"/>
  <c r="C30" i="1" a="1"/>
  <c r="C30" i="1" s="1"/>
  <c r="C28" i="1" a="1"/>
  <c r="C28" i="1" s="1"/>
  <c r="D27" i="1" a="1"/>
  <c r="D27" i="1" s="1"/>
  <c r="C27" i="1" a="1"/>
  <c r="C27" i="1" s="1"/>
  <c r="D26" i="1" a="1"/>
  <c r="D26" i="1" s="1"/>
  <c r="D25" i="1" a="1"/>
  <c r="D25" i="1" s="1"/>
  <c r="C25" i="1" a="1"/>
  <c r="C25" i="1" s="1"/>
  <c r="D24" i="1" a="1"/>
  <c r="D24" i="1" s="1"/>
  <c r="C24" i="1" a="1"/>
  <c r="C24" i="1" s="1"/>
  <c r="D23" i="1" a="1"/>
  <c r="D23" i="1" s="1"/>
  <c r="C23" i="1" a="1"/>
  <c r="C23" i="1" s="1"/>
  <c r="D22" i="1" a="1"/>
  <c r="D22" i="1" s="1"/>
  <c r="D21" i="1" a="1"/>
  <c r="D21" i="1" s="1"/>
  <c r="C21" i="1" a="1"/>
  <c r="C21" i="1" s="1"/>
  <c r="D19" i="1" a="1"/>
  <c r="D19" i="1" s="1"/>
  <c r="C19" i="1"/>
  <c r="D18" i="1"/>
  <c r="D18" i="1" a="1"/>
  <c r="C18" i="1" a="1"/>
  <c r="C18" i="1" s="1"/>
  <c r="D17" i="1"/>
  <c r="D17" i="1" a="1"/>
  <c r="C17" i="1" a="1"/>
  <c r="C17" i="1" s="1"/>
  <c r="D16" i="1"/>
  <c r="D16" i="1" a="1"/>
  <c r="C16" i="1" a="1"/>
  <c r="C16" i="1" s="1"/>
  <c r="C98" i="1" l="1"/>
  <c r="C97" i="1"/>
  <c r="C96" i="1"/>
  <c r="C95" i="1"/>
  <c r="C94" i="1"/>
  <c r="C93" i="1"/>
  <c r="C92" i="1"/>
  <c r="C91" i="1"/>
  <c r="C90" i="1"/>
  <c r="C89" i="1"/>
  <c r="C88" i="1"/>
  <c r="C87" i="1"/>
  <c r="C45" i="1" a="1"/>
  <c r="C45" i="1" s="1"/>
  <c r="C50" i="1" l="1" a="1"/>
  <c r="C50" i="1" s="1"/>
  <c r="C51" i="1" a="1"/>
  <c r="C5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<sst xmlns="http://schemas.openxmlformats.org/spreadsheetml/2006/main" count="436" uniqueCount="181">
  <si>
    <t>Dictionary 1 (Title)</t>
  </si>
  <si>
    <t>Dictionary 2 (Description)</t>
  </si>
  <si>
    <t>Exclusive?</t>
  </si>
  <si>
    <t>Notes</t>
  </si>
  <si>
    <t>Age</t>
  </si>
  <si>
    <t>&lt;15</t>
  </si>
  <si>
    <t>Exclusive per climber, parties can contain multiple age tags</t>
  </si>
  <si>
    <t>Ages involved lots of  trial and error due to multiple age formats (letters, numbers, commas, spaces introduced in web html…).  Had to do a second pass with less inclusive sets of terms, mainly because wide ones did not  screen out dates like "October 14," with the comma. Did many elaborate reviews (about 20!) and cleaned all known systemic issues thoroughly.  Fuller notes in the worksheets.</t>
  </si>
  <si>
    <t>15-20</t>
  </si>
  <si>
    <t>21-25</t>
  </si>
  <si>
    <t>26-30</t>
  </si>
  <si>
    <t>31-35</t>
  </si>
  <si>
    <t>36-50</t>
  </si>
  <si>
    <t>51-75</t>
  </si>
  <si>
    <t>Experience Level</t>
  </si>
  <si>
    <t>No/Little</t>
  </si>
  <si>
    <t>Exclusive per climber, parties can contain multiple  tags</t>
  </si>
  <si>
    <t>No/Little, Moderate, Experienced, and Unknown definitions are for the climbing discipline in which the accident took place.  More qualitative than strictly up to 1 year, 1-3, and 3+ as that is a very rigid definition and doesn't cover mixed experience.  2 years of sport climbing for one person with 3x a year might be little experience, and 6 months of sport for another who dirtbagged around climbing 5x a week could be "Experienced" indeed.</t>
  </si>
  <si>
    <t>Moderate</t>
  </si>
  <si>
    <t>Experienced</t>
  </si>
  <si>
    <t>Unknown</t>
  </si>
  <si>
    <t>-</t>
  </si>
  <si>
    <t>Yes - includes all untagged incidents.</t>
  </si>
  <si>
    <t>Includes all non-tagged incidents.</t>
  </si>
  <si>
    <t>Outcome</t>
  </si>
  <si>
    <t>Deadly</t>
  </si>
  <si>
    <t>Exclusive per climber, parties can contain multiple tags</t>
  </si>
  <si>
    <t>Heavy reviews were needed because of importance of these categories.  Included use of a "hypothetical language" keyterm set / filter to review fatal incidents with hypothetical language.  Ex.: "would have died if he hadn't…"</t>
  </si>
  <si>
    <t>Serious</t>
  </si>
  <si>
    <t>Note, may include some accidents that are serious and later become fatalities.</t>
  </si>
  <si>
    <t>Minor</t>
  </si>
  <si>
    <t>Head / Brain Injury</t>
  </si>
  <si>
    <t xml:space="preserve">Note: HACE is not counted for head / brain injury category but can be combined if desired.  </t>
  </si>
  <si>
    <t>Type of Climbing</t>
  </si>
  <si>
    <t>Descent</t>
  </si>
  <si>
    <t>Rappel Error, Lowering Error</t>
  </si>
  <si>
    <t>Yes - time of accident, not mention at any point in narrative</t>
  </si>
  <si>
    <t xml:space="preserve">One of the more complex categories to tag, see "0-master-word-processor-notes" Word doc, or full worksheet 'z-final-Roped…" for more detail. </t>
  </si>
  <si>
    <t>Roped</t>
  </si>
  <si>
    <t>Trad, Sport, Top-Rope, Pendulum, Run Out, Knot &amp; Tie-in Error, No Backup or End Knot, Belay Error, Rappel Error, Lowering Error</t>
  </si>
  <si>
    <t xml:space="preserve">Rolled up types of Roped climbing to be Roped.   Resolved Roped + Unroped tag conflicts, and checked any incidents that were not tagged to at least one of: Roped, Unroped, Alpine/Mountaineering. </t>
  </si>
  <si>
    <t>Trad Climbing</t>
  </si>
  <si>
    <t>Yes</t>
  </si>
  <si>
    <t>Sport</t>
  </si>
  <si>
    <t>Top-Rope</t>
  </si>
  <si>
    <t>Aid &amp; Big Wall Climbing</t>
  </si>
  <si>
    <t>Only exclusive in some cases.  Can overlap with Alpine / Mountaineering and Trad, among others.</t>
  </si>
  <si>
    <t>Methodology Note: I used simple Yosemite trigger to add/review some candidates.</t>
  </si>
  <si>
    <t xml:space="preserve">Unroped </t>
  </si>
  <si>
    <t>Bouldering</t>
  </si>
  <si>
    <t>Used “glissade” factor and “self-arrest” keyterm to widen unroped and solo.  A couple roped glissades were omitted.</t>
  </si>
  <si>
    <t>Solo</t>
  </si>
  <si>
    <t>Used "self-belay" to find a few more.</t>
  </si>
  <si>
    <t>Climbing Alone</t>
  </si>
  <si>
    <t>Made simple term "Climbing Alone" its own category due to prevalence in AAC titles, broke out from Stranded/Lost/Overdue.  Examined Titles only.</t>
  </si>
  <si>
    <t>Reviewed with bouldering keyterms. Then reviewed versus rockfall.  Screened bouldering against "bould" minus the rockfall tags.</t>
  </si>
  <si>
    <t>Non-climbing</t>
  </si>
  <si>
    <t>Alpine/Mountaineering</t>
  </si>
  <si>
    <t>No - overlaps with Ice Climbing and can overlap other protection-specific types of climbing like trad.</t>
  </si>
  <si>
    <t>Ice Climbing</t>
  </si>
  <si>
    <t>No - can overlap with Ice Climbing, and trad in cases of mixed routes.</t>
  </si>
  <si>
    <t>Alpine &amp; Ice Climbing Factors</t>
  </si>
  <si>
    <t>Piton/Ice Screw</t>
  </si>
  <si>
    <t>No</t>
  </si>
  <si>
    <t>Ascent Illness</t>
  </si>
  <si>
    <t>Non-Ascent Illness</t>
  </si>
  <si>
    <t>Crampon Issues</t>
  </si>
  <si>
    <t>Glissading</t>
  </si>
  <si>
    <t xml:space="preserve">Ski-related </t>
  </si>
  <si>
    <t>Skiing is considered an activity mode, not an overarching trip descriptor when skies are off.  An activity type, not marked as a factor when not skiing at time of accident.  Reviewed "ski" versus Kananaskis tags.</t>
  </si>
  <si>
    <t>Poor Position</t>
  </si>
  <si>
    <t>Natural Factors</t>
  </si>
  <si>
    <t>Visibility</t>
  </si>
  <si>
    <t>Defined widely, as Dark / Whiteout / Snowblind, and should apply to time-of-accident, not during Rescue.  The category End of Day is running late in the day, sometimes with darkness.     Aiming to tag darkness to both, with some overlap to these categories.   For snowblindness, used "vision","sight","couldn't see" as a starting point -- then tagged to visibility and illness.</t>
  </si>
  <si>
    <t>Severe Weather / Act of God</t>
  </si>
  <si>
    <t>Natural Rockfall</t>
  </si>
  <si>
    <t>Wildlife</t>
  </si>
  <si>
    <t>Alpine &amp; Ice Climbing Natural Factors</t>
  </si>
  <si>
    <t>Avalanche</t>
  </si>
  <si>
    <t>For Natural Factors and Human Factors from here on, increasingly conflict resolution between tags was not an effective method, so tighter Title tags and broader Description tags became the MO.  In most cases, the Description column was also used as the "Confirmed" final tag column.  When titles matched, a Y was applied for the incident in the Description/Confirmed column.  Then those incidents could be reviewed.  Description terms can then be reviewed by number of keyterm hits.  In some cases, frequency of a single term in each accident was employed using an alternative formula,  =(LEN(D2)-LEN(SUBSTITUTE(D2,$R$1,"")))/LEN($R$1).  Other additional rounds of terms with additional columns could be added for the description if key terms were missed initially.</t>
  </si>
  <si>
    <t>Poor Cond/Seasonal Risk</t>
  </si>
  <si>
    <t>Cornice / Snow Bridge Collapse</t>
  </si>
  <si>
    <t>Bergschrund</t>
  </si>
  <si>
    <t>Simple term search, then data cleaning of items.</t>
  </si>
  <si>
    <t>Crevasse / Moat / Berschrund</t>
  </si>
  <si>
    <t xml:space="preserve">Did not attempt to separate crossings of bergschrunds / crevasses where people fall in or get hurt, versus falls that wind up landing in these places. Rationale is that it can be a very difficult distinction / no distinction many times. </t>
  </si>
  <si>
    <t>Icefall / Serac / Ice Avalanche</t>
  </si>
  <si>
    <t>Ice Avalanches categorized here, not also under avalanche.  Ice dislodged by another climber that hits someone is not counted, just like the split between Natural Rockfall and Dropped / Dislodged Rock or Object.  Dislodged ice will go in that last category as well.</t>
  </si>
  <si>
    <t>Exposure</t>
  </si>
  <si>
    <t>Human Factors</t>
  </si>
  <si>
    <t>Off-route</t>
  </si>
  <si>
    <t>Rushed</t>
  </si>
  <si>
    <t>Run Out</t>
  </si>
  <si>
    <t>Crowds</t>
  </si>
  <si>
    <t>Second termset is narrower.</t>
  </si>
  <si>
    <t>Inadequate Food/Water</t>
  </si>
  <si>
    <t>No Helmet</t>
  </si>
  <si>
    <t>Late in Day</t>
  </si>
  <si>
    <t>Darkness is included in both Visibility and Late in Day.  For both categories, time of accident is the standard, and the factor is not tagged if described as effecting a rescue.</t>
  </si>
  <si>
    <t>Late Start</t>
  </si>
  <si>
    <t>Simple term, see sheet.</t>
  </si>
  <si>
    <t>Party Separated</t>
  </si>
  <si>
    <t>Ledge Fall</t>
  </si>
  <si>
    <t>Ledge fall means injurious landings on ledges. It doesn’t include breaking ledges, which are part of Handhold/Foothold Broke. Incidental or fortuitous ledge landings are not included.  Methodology used was filtering title ledges first and untagging all the ones with locations such as "Cathedral Ledge."</t>
  </si>
  <si>
    <t>Gym / Artificial</t>
  </si>
  <si>
    <t>Gym Climber</t>
  </si>
  <si>
    <t>Just used the Gym Lexicon -- the word Gym got picked up a lot, and rarely for actual gyms / artificial walls since those reports don't exist.  Reading titles and descriptions confirmed the word gym meant to refer to gym climbers in all these cases.</t>
  </si>
  <si>
    <t>Fatigue</t>
  </si>
  <si>
    <t>Large Group</t>
  </si>
  <si>
    <t>Intended to capture incidents involving groups of 6 or more people, or a class or school.</t>
  </si>
  <si>
    <t>Distracted</t>
  </si>
  <si>
    <t>Object Dropped/Dislodged</t>
  </si>
  <si>
    <t>Handhold/Foothold Broke</t>
  </si>
  <si>
    <t>Knot &amp; Tie-in Error</t>
  </si>
  <si>
    <t>No Backup or End Knot</t>
  </si>
  <si>
    <t>Gear Broke</t>
  </si>
  <si>
    <t>Inadequate Equipment</t>
  </si>
  <si>
    <t>Does include missing clothing or equipment that would have prevented a problem; but not "no helmet" which is an optional piece of gear that reduces consequences of accidents and has its own category.</t>
  </si>
  <si>
    <t>Inadequate Protection / Pulled</t>
  </si>
  <si>
    <t>Anchor Failure / Error</t>
  </si>
  <si>
    <t>Stranded / Lost / Overdue</t>
  </si>
  <si>
    <t>Belay Error</t>
  </si>
  <si>
    <t>Versus Lowering Error, yes.</t>
  </si>
  <si>
    <t>"On the way up" belay issues are tagged Belay Error.  
"On the way down" belay issues are tagged Lowering Error.
These include lowering incidents when a rope runs through device, or a belayer giving too much slack during lowering.  Also included are too much slack in lowering, and miscommunications when someone is taken off belay without explicit communication, and the belayer fails to be ready to lower and a person falls unbelayed.</t>
  </si>
  <si>
    <t>Rappel Error</t>
  </si>
  <si>
    <t>“Rappel Error” is wide, includes rappel with no backup, rappelling too fast, falling while setting up a rappel, rappel anchors failing.</t>
  </si>
  <si>
    <t>Lowering Error</t>
  </si>
  <si>
    <t>Versus Belay and Rappel Error, yes.</t>
  </si>
  <si>
    <t>Miscommunication</t>
  </si>
  <si>
    <t>Pendulum</t>
  </si>
  <si>
    <t>Months</t>
  </si>
  <si>
    <t>January</t>
  </si>
  <si>
    <t>Months tagging included reviewing for conflicts, and resolving, including when multiple months mentioned, picking the most accurate one (closest to accident date).</t>
  </si>
  <si>
    <t>February</t>
  </si>
  <si>
    <t>March</t>
  </si>
  <si>
    <t>All dates to avoid confusion.</t>
  </si>
  <si>
    <t>April</t>
  </si>
  <si>
    <t>May</t>
  </si>
  <si>
    <t>June</t>
  </si>
  <si>
    <t>July</t>
  </si>
  <si>
    <t>August</t>
  </si>
  <si>
    <t>September</t>
  </si>
  <si>
    <t>October</t>
  </si>
  <si>
    <t>November</t>
  </si>
  <si>
    <t>December</t>
  </si>
  <si>
    <t>AAC Category</t>
  </si>
  <si>
    <t>Y</t>
  </si>
  <si>
    <t>N</t>
  </si>
  <si>
    <t>Category Name</t>
  </si>
  <si>
    <t xml:space="preserve">Child Categories </t>
  </si>
  <si>
    <t>Modified</t>
  </si>
  <si>
    <t>Broader than the AAC's Loss of control / Glissade.</t>
  </si>
  <si>
    <t>AAC classifies these items as "Other." Required cleaning versus alternative categories.</t>
  </si>
  <si>
    <t>Likely</t>
  </si>
  <si>
    <t>AAC reports include "Poor Conditions" in titles, although the factor does not show up in the 2019 publication's tables.  For this project, seasonal elements can be early, late, unseasonable…anything unexpected and unfavorable.</t>
  </si>
  <si>
    <t>Likely similar to AAC's "Weather"; includes AAC's category Lightning.</t>
  </si>
  <si>
    <t>This analysis combines Ascending Too Fast from the AAC Immediate causes and HAPE, HACE, and AMS from AAC's injury types, because the mechanism, avoidance strategies, and treatment options have a lot in common.  Added more entries later with a standalone search of titles and descriptions for "Altitude Illness"</t>
  </si>
  <si>
    <t>AAC calls this "Faulty use of crampons." This analysis includes normal difficulties with crampons, i.e. needing to clear snow from them and falling, or trying to take them off or put them on and falling, rather than just misuse such as glissading with crampons (althought that is included too).</t>
  </si>
  <si>
    <t>Rarely</t>
  </si>
  <si>
    <t>AAC reports do include a few instances, which are presumably marked as Unknown terrain since artificial is not a terrain type in the tables.</t>
  </si>
  <si>
    <t>Mentioned in AAC accidents but not in tables.Adheres to tight language about fatigue.  Not broadened out to look for more cases of apparent fatigue based on other terms, as that would get very messy and judgment-reliant.</t>
  </si>
  <si>
    <t>Mentioned in AAC accidents but not in tables.Adheres to tight language about fatigue.  Not broadened out to look for more cases of apparent distraction based on other terms, as that would get very messy and judgment-reliant.</t>
  </si>
  <si>
    <t>Compares to AAC category Loose rock / failure to test holds, but not as restrictive, still tagged if someone tested holds and it still failed.   Vetted vs. Dropped / Dislodged and Natural Rockfall.</t>
  </si>
  <si>
    <t xml:space="preserve">Similar to Falling rock, ice, or object, but limited to objects including rock dropped by climbing parties or human beings above. Natural Rockfall is broken out separately.  Includes "Dropped Rope" incidents and dropped important gear.  Note: Object Dropped / Dislodged has some overlap with Handhold/Foothold Broke. </t>
  </si>
  <si>
    <t>New category to tag only natural rockfall separate from Falling rocks or objects dislodged by humans, which the AAC had combined as Falling rock, ice, or object.   Required cleaning versus alternative categories.</t>
  </si>
  <si>
    <t xml:space="preserve">AAC category is "Failure to follow directions/route."  Off-route is split off here, and "Failure to follow directions" of a ranger or guide is not tagged.  </t>
  </si>
  <si>
    <t>AAC likely captures these in Lowering Error and Rappel Error.  In this analysis, this tag can overlap with pure-play Belay and Rappel error designations.</t>
  </si>
  <si>
    <t>Similar to Equipment failure.</t>
  </si>
  <si>
    <t>AAC captures these in Lowering Error and Rappel Error.  In this analysis, this tag can overlap with pure-play Lowering, Belay, and Rappel error designations.</t>
  </si>
  <si>
    <t>Various phrasings in AAC reports over the years, currently called "Placed no / inadequate protection" in the tables.</t>
  </si>
  <si>
    <t>Appears in AAC tables under a broader category, Rappel Failure / Error.  This analysis allows for rappel /lowering error tags plus this more specific one, and includes "Inadequate Anchor" entries from AAC titles.  Broadly includes errors building anchors and failures of anchors.</t>
  </si>
  <si>
    <t xml:space="preserve">Adds Overdue to Stranded/Lost category maintained by AAC. </t>
  </si>
  <si>
    <t>Y / Note</t>
  </si>
  <si>
    <t>AAC category was established in 2016, which is why the count in the tables is low, and in previous years, Belay Error was likely used as the tag.  In this analysis, "on the way up" belay issues are tagged Belay Error.  
"on the way down" belay issues are tagged Lowering Error.
These include lowering incidents when a rope runs through device, or a belayer giving too much slack during lowering.  Also included are too much slack in lowering, and miscommunications when someone is taken off belay without explicit communication, and the belayer fails to be ready to lower and a person falls unbelayed.</t>
  </si>
  <si>
    <t>AAC includes miscommunication as a factor in "Inadequate Belay."  Many historical reports name miscommunication independently though.</t>
  </si>
  <si>
    <t>AAC includes in Rappel Failure / Error.  This analysis does not automatically tag Rappel Failure to pendulum incidents, all though both tags could be made independently.</t>
  </si>
  <si>
    <t xml:space="preserve">Bouldering; Can include Alpine/Mountaineering in some cases.  </t>
  </si>
  <si>
    <t>Intoxicated</t>
  </si>
  <si>
    <t>Alcohol is sometimes listed, and alcohol and drugs are likely in the AAC "Other" bucket of contributory causes.</t>
  </si>
  <si>
    <t>Note: AAC's Injury, Other includes lots including teeth, rope burns, snow blindness.  Except for possibly snow blindness, these others seem like injuries as a result of the accident, not causing it, which is my aim for this category (causal factors).  Keyword set for description was narrowed repeatedly in cleaning process because it cast too wide a net.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</si>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</sst>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b/>
      <i/>
      <sz val="12"/>
      <color theme="1"/>
      <name val="Calibri"/>
      <family val="2"/>
      <scheme val="minor"/>
    </font>
    <font>
      <b/>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
      <patternFill patternType="solid">
        <fgColor theme="4" tint="0.79998168889431442"/>
        <bgColor indexed="64"/>
      </patternFill>
    </fill>
    <fill>
      <patternFill patternType="solid">
        <fgColor theme="9"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68">
    <xf numFmtId="0" fontId="0" fillId="0" borderId="0" xfId="0"/>
    <xf numFmtId="0" fontId="0" fillId="0" borderId="1" xfId="0" applyBorder="1"/>
    <xf numFmtId="0" fontId="0" fillId="2" borderId="6" xfId="0" applyFill="1" applyBorder="1" applyAlignment="1">
      <alignment wrapText="1"/>
    </xf>
    <xf numFmtId="0" fontId="0" fillId="0" borderId="10" xfId="0" applyBorder="1"/>
    <xf numFmtId="0" fontId="0" fillId="0" borderId="0" xfId="0" applyAlignment="1">
      <alignment wrapText="1"/>
    </xf>
    <xf numFmtId="0" fontId="1" fillId="0" borderId="10" xfId="0" applyFont="1" applyFill="1" applyBorder="1" applyAlignment="1">
      <alignment horizontal="center"/>
    </xf>
    <xf numFmtId="0" fontId="1" fillId="0" borderId="1" xfId="0" applyFont="1" applyFill="1" applyBorder="1" applyAlignment="1">
      <alignment horizontal="center"/>
    </xf>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20" xfId="0" applyFont="1" applyFill="1" applyBorder="1" applyAlignment="1">
      <alignment horizontal="center"/>
    </xf>
    <xf numFmtId="0" fontId="1" fillId="0" borderId="21" xfId="0" applyFont="1" applyFill="1" applyBorder="1" applyAlignment="1">
      <alignment horizontal="center"/>
    </xf>
    <xf numFmtId="0" fontId="4" fillId="0" borderId="19" xfId="0" applyFont="1" applyFill="1" applyBorder="1" applyAlignment="1">
      <alignment horizontal="center"/>
    </xf>
    <xf numFmtId="0" fontId="4" fillId="0" borderId="20" xfId="0" applyFont="1" applyFill="1" applyBorder="1" applyAlignment="1">
      <alignment horizontal="center"/>
    </xf>
    <xf numFmtId="0" fontId="0" fillId="6" borderId="1" xfId="0" applyFill="1" applyBorder="1" applyAlignment="1">
      <alignment horizontal="center"/>
    </xf>
    <xf numFmtId="0" fontId="0" fillId="0" borderId="0" xfId="0" quotePrefix="1"/>
    <xf numFmtId="0" fontId="0" fillId="2" borderId="5" xfId="0" applyFill="1" applyBorder="1" applyAlignment="1"/>
    <xf numFmtId="0" fontId="0" fillId="2" borderId="1" xfId="0" applyFill="1" applyBorder="1" applyAlignment="1"/>
    <xf numFmtId="0" fontId="0" fillId="2" borderId="7" xfId="0" applyFill="1" applyBorder="1" applyAlignment="1"/>
    <xf numFmtId="0" fontId="0" fillId="2" borderId="8" xfId="0" applyFill="1" applyBorder="1" applyAlignment="1"/>
    <xf numFmtId="0" fontId="0" fillId="5" borderId="5" xfId="0" applyFill="1" applyBorder="1" applyAlignment="1"/>
    <xf numFmtId="0" fontId="0" fillId="5" borderId="1" xfId="0" applyFill="1" applyBorder="1" applyAlignment="1"/>
    <xf numFmtId="0" fontId="0" fillId="5" borderId="6" xfId="0" applyFill="1" applyBorder="1" applyAlignment="1"/>
    <xf numFmtId="0" fontId="0" fillId="5" borderId="7" xfId="0" applyFill="1" applyBorder="1" applyAlignment="1"/>
    <xf numFmtId="0" fontId="0" fillId="5" borderId="8" xfId="0" applyFill="1" applyBorder="1" applyAlignment="1"/>
    <xf numFmtId="0" fontId="0" fillId="5" borderId="9" xfId="0" applyFill="1" applyBorder="1" applyAlignment="1"/>
    <xf numFmtId="0" fontId="2" fillId="2" borderId="5" xfId="0" applyFont="1" applyFill="1" applyBorder="1" applyAlignment="1"/>
    <xf numFmtId="0" fontId="0" fillId="2" borderId="6" xfId="0" applyFill="1" applyBorder="1" applyAlignment="1"/>
    <xf numFmtId="0" fontId="2" fillId="2" borderId="7" xfId="0" applyFont="1" applyFill="1" applyBorder="1" applyAlignment="1"/>
    <xf numFmtId="0" fontId="0" fillId="2" borderId="9" xfId="0" applyFill="1" applyBorder="1" applyAlignment="1"/>
    <xf numFmtId="0" fontId="0" fillId="3" borderId="5" xfId="0" applyFill="1" applyBorder="1" applyAlignment="1"/>
    <xf numFmtId="0" fontId="0" fillId="3" borderId="1" xfId="0" applyFill="1" applyBorder="1" applyAlignment="1"/>
    <xf numFmtId="0" fontId="0" fillId="3" borderId="6" xfId="0" applyFill="1" applyBorder="1" applyAlignment="1"/>
    <xf numFmtId="0" fontId="2" fillId="4" borderId="1" xfId="0" applyFont="1" applyFill="1" applyBorder="1" applyAlignment="1"/>
    <xf numFmtId="0" fontId="2" fillId="3" borderId="7" xfId="0" applyFont="1" applyFill="1" applyBorder="1" applyAlignment="1"/>
    <xf numFmtId="0" fontId="0" fillId="3" borderId="8" xfId="0" applyFill="1" applyBorder="1" applyAlignment="1"/>
    <xf numFmtId="0" fontId="0" fillId="3" borderId="9" xfId="0" applyFill="1" applyBorder="1" applyAlignment="1"/>
    <xf numFmtId="0" fontId="0" fillId="6" borderId="5" xfId="0" applyFill="1" applyBorder="1" applyAlignment="1"/>
    <xf numFmtId="0" fontId="0" fillId="6" borderId="1" xfId="0" applyFill="1" applyBorder="1" applyAlignment="1"/>
    <xf numFmtId="0" fontId="0" fillId="6" borderId="6" xfId="0" applyFill="1" applyBorder="1" applyAlignment="1"/>
    <xf numFmtId="0" fontId="0" fillId="6" borderId="7" xfId="0" applyFill="1" applyBorder="1" applyAlignment="1"/>
    <xf numFmtId="0" fontId="0" fillId="6" borderId="8" xfId="0" applyFill="1" applyBorder="1" applyAlignment="1"/>
    <xf numFmtId="0" fontId="0" fillId="6" borderId="9" xfId="0" applyFill="1" applyBorder="1" applyAlignment="1"/>
    <xf numFmtId="0" fontId="3" fillId="6" borderId="6" xfId="0" applyFont="1" applyFill="1" applyBorder="1" applyAlignment="1"/>
    <xf numFmtId="0" fontId="0" fillId="3" borderId="7" xfId="0" applyFill="1" applyBorder="1" applyAlignment="1"/>
    <xf numFmtId="0" fontId="0" fillId="2" borderId="1" xfId="0" applyFill="1" applyBorder="1" applyAlignment="1">
      <alignment horizontal="center"/>
    </xf>
    <xf numFmtId="0" fontId="0" fillId="2" borderId="8" xfId="0" applyFill="1" applyBorder="1" applyAlignment="1">
      <alignment horizontal="center"/>
    </xf>
    <xf numFmtId="0" fontId="0" fillId="5" borderId="1" xfId="0" applyFill="1" applyBorder="1" applyAlignment="1">
      <alignment horizontal="center"/>
    </xf>
    <xf numFmtId="0" fontId="0" fillId="5" borderId="8" xfId="0" applyFill="1" applyBorder="1" applyAlignment="1">
      <alignment horizontal="center"/>
    </xf>
    <xf numFmtId="0" fontId="0" fillId="3" borderId="1" xfId="0" applyFill="1" applyBorder="1" applyAlignment="1">
      <alignment horizontal="center"/>
    </xf>
    <xf numFmtId="0" fontId="0" fillId="3" borderId="8" xfId="0" applyFill="1" applyBorder="1" applyAlignment="1">
      <alignment horizontal="center"/>
    </xf>
    <xf numFmtId="0" fontId="0" fillId="6" borderId="8" xfId="0" applyFill="1" applyBorder="1" applyAlignment="1">
      <alignment horizontal="center"/>
    </xf>
    <xf numFmtId="0" fontId="0" fillId="3" borderId="1" xfId="0" applyFill="1" applyBorder="1" applyAlignment="1">
      <alignment horizontal="left"/>
    </xf>
    <xf numFmtId="0" fontId="0" fillId="3" borderId="8" xfId="0" applyFill="1" applyBorder="1" applyAlignment="1">
      <alignment horizontal="left"/>
    </xf>
    <xf numFmtId="0" fontId="1" fillId="0" borderId="15" xfId="0" applyFont="1" applyFill="1" applyBorder="1" applyAlignment="1">
      <alignment horizontal="center" wrapText="1"/>
    </xf>
    <xf numFmtId="0" fontId="1" fillId="0" borderId="16" xfId="0" applyFont="1" applyBorder="1" applyAlignment="1">
      <alignment horizontal="center" wrapText="1"/>
    </xf>
    <xf numFmtId="0" fontId="1" fillId="0" borderId="17" xfId="0" applyFont="1" applyBorder="1" applyAlignment="1">
      <alignment horizontal="center" wrapText="1"/>
    </xf>
    <xf numFmtId="0" fontId="1" fillId="0" borderId="13" xfId="0" applyFont="1" applyBorder="1" applyAlignment="1">
      <alignment horizontal="center"/>
    </xf>
    <xf numFmtId="0" fontId="1" fillId="0" borderId="10" xfId="0" applyFont="1" applyBorder="1" applyAlignment="1">
      <alignment horizontal="center"/>
    </xf>
    <xf numFmtId="0" fontId="1" fillId="0" borderId="14" xfId="0" applyFont="1" applyBorder="1" applyAlignment="1">
      <alignment horizontal="center"/>
    </xf>
    <xf numFmtId="0" fontId="1" fillId="0" borderId="11" xfId="0" applyFont="1" applyFill="1" applyBorder="1" applyAlignment="1">
      <alignment horizontal="center"/>
    </xf>
    <xf numFmtId="0" fontId="1" fillId="0" borderId="12" xfId="0" applyFont="1" applyFill="1" applyBorder="1" applyAlignment="1">
      <alignment horizontal="center"/>
    </xf>
    <xf numFmtId="0" fontId="1" fillId="0" borderId="22" xfId="0" applyFont="1" applyFill="1" applyBorder="1" applyAlignment="1">
      <alignment horizontal="center"/>
    </xf>
    <xf numFmtId="0" fontId="1" fillId="0" borderId="23" xfId="0" applyFont="1" applyFill="1" applyBorder="1" applyAlignment="1">
      <alignment horizontal="center"/>
    </xf>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1">
    <dxf>
      <font>
        <b val="0"/>
        <i val="0"/>
        <color rgb="FF7030A0"/>
      </font>
      <fill>
        <patternFill patternType="solid">
          <fgColor auto="1"/>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665A4-18E5-FA44-8453-93B14CB452D3}">
  <dimension ref="A1:H99"/>
  <sheetViews>
    <sheetView tabSelected="1" workbookViewId="0">
      <pane ySplit="1" topLeftCell="A2" activePane="bottomLeft" state="frozen"/>
      <selection pane="bottomLeft" activeCell="E81" sqref="E81"/>
    </sheetView>
  </sheetViews>
  <sheetFormatPr baseColWidth="10" defaultRowHeight="16" x14ac:dyDescent="0.2"/>
  <cols>
    <col min="1" max="1" width="8.33203125" style="6" customWidth="1"/>
    <col min="2" max="2" width="30.33203125" style="1" customWidth="1"/>
    <col min="3" max="5" width="12.1640625" style="1" customWidth="1"/>
    <col min="6" max="6" width="17.5" style="1" customWidth="1"/>
    <col min="7" max="7" width="42" style="1" customWidth="1"/>
  </cols>
  <sheetData>
    <row r="1" spans="1:8" s="4" customFormat="1" ht="35" thickBot="1" x14ac:dyDescent="0.25">
      <c r="A1" s="53" t="s">
        <v>145</v>
      </c>
      <c r="B1" s="54" t="s">
        <v>148</v>
      </c>
      <c r="C1" s="54" t="s">
        <v>0</v>
      </c>
      <c r="D1" s="54" t="s">
        <v>1</v>
      </c>
      <c r="E1" s="54" t="s">
        <v>149</v>
      </c>
      <c r="F1" s="54" t="s">
        <v>2</v>
      </c>
      <c r="G1" s="55" t="s">
        <v>3</v>
      </c>
    </row>
    <row r="2" spans="1:8" x14ac:dyDescent="0.2">
      <c r="A2" s="7"/>
      <c r="B2" s="56" t="s">
        <v>4</v>
      </c>
      <c r="C2" s="57"/>
      <c r="D2" s="57"/>
      <c r="E2" s="57"/>
      <c r="F2" s="57"/>
      <c r="G2" s="58"/>
      <c r="H2" s="14" t="s">
        <v>180</v>
      </c>
    </row>
    <row r="3" spans="1:8" x14ac:dyDescent="0.2">
      <c r="A3" s="8" t="s">
        <v>146</v>
      </c>
      <c r="B3" s="15" t="s">
        <v>5</v>
      </c>
      <c r="C3" s="44" cm="1">
        <f t="array" ref="C3">SUMPRODUCT(--ISNUMBER(SEARCH({"(4)","(5)","(6)","(7)","(8)","(9)","10)","11)","12)","13)","14)"," 4-year"," 5-year"," 6-year"," 7-year"," 8-year"," 9-year","10-year","11-year","12-year","13-year","14-year"," 4 "," 5 "," 6 "," 7 "," 8",", 9",", 10",", 11",", 12",", 13",", 14"},#REF!)))</f>
        <v>0</v>
      </c>
      <c r="D3" s="44"/>
      <c r="E3" s="16"/>
      <c r="F3" s="16" t="s">
        <v>6</v>
      </c>
      <c r="G3" s="16" t="s">
        <v>7</v>
      </c>
      <c r="H3" s="14" t="s">
        <v>180</v>
      </c>
    </row>
    <row r="4" spans="1:8" x14ac:dyDescent="0.2">
      <c r="A4" s="8" t="s">
        <v>146</v>
      </c>
      <c r="B4" s="15" t="s">
        <v>8</v>
      </c>
      <c r="C4" s="44" cm="1">
        <f t="array" ref="C4">SUMPRODUCT(--ISNUMBER(SEARCH({"15)","16)","17)","18)","19)","20)","15-year","16-year","17-year","18-year","19-year","20-year",", 15",", 16",", 17",", 18",", 19",", 20"},#REF!)))</f>
        <v>0</v>
      </c>
      <c r="D4" s="44"/>
      <c r="E4" s="16"/>
      <c r="F4" s="16" t="s">
        <v>6</v>
      </c>
      <c r="G4" s="16"/>
      <c r="H4" s="14" t="s">
        <v>180</v>
      </c>
    </row>
    <row r="5" spans="1:8" x14ac:dyDescent="0.2">
      <c r="A5" s="8" t="s">
        <v>146</v>
      </c>
      <c r="B5" s="15" t="s">
        <v>9</v>
      </c>
      <c r="C5" s="44" cm="1">
        <f t="array" ref="C5">SUMPRODUCT(--ISNUMBER(SEARCH({"25)","21)","22)","23)","24)","25-year","21-year","22-year","23-year","24-year",", 25",", 21",", 22",", 23",", 24"},#REF!)))</f>
        <v>0</v>
      </c>
      <c r="D5" s="44"/>
      <c r="E5" s="16"/>
      <c r="F5" s="16" t="s">
        <v>6</v>
      </c>
      <c r="G5" s="16"/>
      <c r="H5" s="14" t="s">
        <v>180</v>
      </c>
    </row>
    <row r="6" spans="1:8" x14ac:dyDescent="0.2">
      <c r="A6" s="8" t="s">
        <v>146</v>
      </c>
      <c r="B6" s="15" t="s">
        <v>10</v>
      </c>
      <c r="C6" s="44" cm="1">
        <f t="array" ref="C6">SUMPRODUCT(--ISNUMBER(SEARCH({"26)","27)","28)","29)","30)","26-year","27-year","28-year","29-year","30-year"", 26",", 27",", 28",", 29",", 30"},#REF!)))</f>
        <v>0</v>
      </c>
      <c r="D6" s="44"/>
      <c r="E6" s="16"/>
      <c r="F6" s="16" t="s">
        <v>6</v>
      </c>
      <c r="G6" s="16"/>
      <c r="H6" s="14" t="s">
        <v>180</v>
      </c>
    </row>
    <row r="7" spans="1:8" x14ac:dyDescent="0.2">
      <c r="A7" s="8" t="s">
        <v>146</v>
      </c>
      <c r="B7" s="15" t="s">
        <v>11</v>
      </c>
      <c r="C7" s="44" cm="1">
        <f t="array" ref="C7">SUMPRODUCT(--ISNUMBER(SEARCH({"35)","31)","32)","33)","34)","34-year","35-year","31-year","32-year","33-year",", 35",", 31",", 32",", 33",", 34"},#REF!)))</f>
        <v>0</v>
      </c>
      <c r="D7" s="44"/>
      <c r="E7" s="16"/>
      <c r="F7" s="16" t="s">
        <v>6</v>
      </c>
      <c r="G7" s="16"/>
      <c r="H7" s="14" t="s">
        <v>180</v>
      </c>
    </row>
    <row r="8" spans="1:8" x14ac:dyDescent="0.2">
      <c r="A8" s="8" t="s">
        <v>146</v>
      </c>
      <c r="B8" s="15" t="s">
        <v>12</v>
      </c>
      <c r="C8" s="44" cm="1">
        <f t="array" ref="C8">SUMPRODUCT(--ISNUMBER(SEARCH({"36)","37)","38)","39)","40)","41)","42)","43)","44)","45)","46)","47)","48)","49)","50)","36-year","37-year","38-year","39-year","40-year","41-year","42-year","43-year","44-year","45-year","46-year","47-year","48-year","49-year","50-year"", 36",", 37",", 38",", 39",", 40",", 41",", 42",", 43",", 44",", 45",", 46",", 47",", 48",", 49",", 50"},#REF!)))</f>
        <v>0</v>
      </c>
      <c r="D8" s="44"/>
      <c r="E8" s="16"/>
      <c r="F8" s="16" t="s">
        <v>6</v>
      </c>
      <c r="G8" s="16"/>
      <c r="H8" s="14" t="s">
        <v>180</v>
      </c>
    </row>
    <row r="9" spans="1:8" ht="17" thickBot="1" x14ac:dyDescent="0.25">
      <c r="A9" s="8" t="s">
        <v>146</v>
      </c>
      <c r="B9" s="17" t="s">
        <v>13</v>
      </c>
      <c r="C9" s="45" cm="1">
        <f t="array" ref="C9">SUMPRODUCT(--ISNUMBER(SEARCH({"51)","52)","53)","54)","55)","56)","57)","58)","59)","60)","61)","62)","63)","64)","65)","66)","67)","68)","69)","70)","71)","72)","73)","74)","75)","51-year","52-year","53-year","54-year","55-year","56-year","57-year","58-year","59-year","60-year","61-year","62-year","63-year","64-year","65-year","66-year","67-year","68-year","69-year","70-year","71-year","72-year","73-year","74-year","75-year",", 51",", 52",", 53",", 54",", 55",", 56",", 57",", 58",", 59",", 60",", 61",", 62",", 63",", 64",", 65",", 66",", 67",", 68",", 69",", 70",", 71",", 72",", 73",", 74",", 75"},#REF!)))</f>
        <v>0</v>
      </c>
      <c r="D9" s="45"/>
      <c r="E9" s="18"/>
      <c r="F9" s="16" t="s">
        <v>6</v>
      </c>
      <c r="G9" s="16"/>
      <c r="H9" s="14" t="s">
        <v>180</v>
      </c>
    </row>
    <row r="10" spans="1:8" x14ac:dyDescent="0.2">
      <c r="A10" s="8"/>
      <c r="B10" s="59" t="s">
        <v>14</v>
      </c>
      <c r="C10" s="60"/>
      <c r="D10" s="60"/>
      <c r="E10" s="60"/>
      <c r="F10" s="61"/>
      <c r="G10" s="62"/>
      <c r="H10" s="14" t="s">
        <v>180</v>
      </c>
    </row>
    <row r="11" spans="1:8" x14ac:dyDescent="0.2">
      <c r="A11" s="8" t="s">
        <v>146</v>
      </c>
      <c r="B11" s="19" t="s">
        <v>15</v>
      </c>
      <c r="C11" s="46" cm="1">
        <f t="array" ref="C11">SUMPRODUCT(--ISNUMBER(SEARCH({"beginner climber","first-time","first time","first climb","no experience","inexperience","exceeding abilities","unfamiliar","lack of knowledge","gym-trained","limited experience"},#REF!)))</f>
        <v>0</v>
      </c>
      <c r="D11" s="46"/>
      <c r="E11" s="20"/>
      <c r="F11" s="20" t="s">
        <v>16</v>
      </c>
      <c r="G11" s="21" t="s">
        <v>17</v>
      </c>
      <c r="H11" s="14" t="s">
        <v>180</v>
      </c>
    </row>
    <row r="12" spans="1:8" x14ac:dyDescent="0.2">
      <c r="A12" s="8" t="s">
        <v>146</v>
      </c>
      <c r="B12" s="19" t="s">
        <v>18</v>
      </c>
      <c r="C12" s="46" cm="1">
        <f t="array" ref="C12">SUMPRODUCT(--ISNUMBER(SEARCH({"somewhat experienced","moderately experienced","some experience","new leader"},#REF!)))</f>
        <v>0</v>
      </c>
      <c r="D12" s="46"/>
      <c r="E12" s="20"/>
      <c r="F12" s="20" t="s">
        <v>16</v>
      </c>
      <c r="G12" s="21"/>
      <c r="H12" s="14" t="s">
        <v>180</v>
      </c>
    </row>
    <row r="13" spans="1:8" x14ac:dyDescent="0.2">
      <c r="A13" s="8" t="s">
        <v>146</v>
      </c>
      <c r="B13" s="19" t="s">
        <v>19</v>
      </c>
      <c r="C13" s="46" cm="1">
        <f t="array" ref="C13">SUMPRODUCT(--ISNUMBER(SEARCH({"very experienced","extremely experienced","years of experience","advanced","seasoned","not novice","competent climber","extensive experience","highly experienced"},#REF!)))</f>
        <v>0</v>
      </c>
      <c r="D13" s="46"/>
      <c r="E13" s="20"/>
      <c r="F13" s="20" t="s">
        <v>16</v>
      </c>
      <c r="G13" s="21"/>
      <c r="H13" s="14" t="s">
        <v>180</v>
      </c>
    </row>
    <row r="14" spans="1:8" ht="17" thickBot="1" x14ac:dyDescent="0.25">
      <c r="A14" s="9" t="s">
        <v>146</v>
      </c>
      <c r="B14" s="22" t="s">
        <v>20</v>
      </c>
      <c r="C14" s="47" t="s">
        <v>21</v>
      </c>
      <c r="D14" s="47" t="s">
        <v>21</v>
      </c>
      <c r="E14" s="23"/>
      <c r="F14" s="23" t="s">
        <v>22</v>
      </c>
      <c r="G14" s="24" t="s">
        <v>23</v>
      </c>
      <c r="H14" s="14" t="s">
        <v>180</v>
      </c>
    </row>
    <row r="15" spans="1:8" x14ac:dyDescent="0.2">
      <c r="A15" s="10"/>
      <c r="B15" s="63" t="s">
        <v>24</v>
      </c>
      <c r="C15" s="64"/>
      <c r="D15" s="64"/>
      <c r="E15" s="64"/>
      <c r="F15" s="64"/>
      <c r="G15" s="65"/>
      <c r="H15" s="14" t="s">
        <v>180</v>
      </c>
    </row>
    <row r="16" spans="1:8" x14ac:dyDescent="0.2">
      <c r="A16" s="11" t="s">
        <v>146</v>
      </c>
      <c r="B16" s="25" t="s">
        <v>25</v>
      </c>
      <c r="C16" s="44" cm="1">
        <f t="array" ref="C16">SUMPRODUCT(--ISNUMBER(SEARCH({"death","fatal","deadly","perished"},#REF!)))</f>
        <v>0</v>
      </c>
      <c r="D16" s="44" cm="1">
        <f t="array" ref="D16">SUMPRODUCT(--ISNUMBER(SEARCH({"deceased","fatality","fatal","death","dead","the body","perished,""killed","died","mortally injured","body recovery","body was recovered"},#REF!)))</f>
        <v>0</v>
      </c>
      <c r="E16" s="16"/>
      <c r="F16" s="16" t="s">
        <v>26</v>
      </c>
      <c r="G16" s="26" t="s">
        <v>27</v>
      </c>
      <c r="H16" s="14" t="s">
        <v>180</v>
      </c>
    </row>
    <row r="17" spans="1:8" x14ac:dyDescent="0.2">
      <c r="A17" s="11" t="s">
        <v>147</v>
      </c>
      <c r="B17" s="25" t="s">
        <v>28</v>
      </c>
      <c r="C17" s="44" cm="1">
        <f t="array" ref="C17">SUMPRODUCT(--ISNUMBER(SEARCH({"unconscious","concussion"," hospital","tourniquet","fracture","unresponsive","serious"},#REF!)))</f>
        <v>0</v>
      </c>
      <c r="D17" s="44" cm="1">
        <f t="array" ref="D17">SUMPRODUCT(--ISNUMBER(SEARCH({"broke her","broke his","injuries","unconscious","knocked out","concussion"," hospital","evacuat","medical center","operated on","tourniquet","fracture","amputat","unresponsive","seriously injur","serious injur"," surgery","heli","litter","immobiliz","broke both","paramedics","was flown","further treatment","broken bone","dislocating his","dislocating her","dislocated his","dislocated her","arm was broken","breaking","a broken","suffered","sustained","suffering","sustaining"},#REF!)))</f>
        <v>0</v>
      </c>
      <c r="E17" s="16"/>
      <c r="F17" s="16" t="s">
        <v>26</v>
      </c>
      <c r="G17" s="26" t="s">
        <v>29</v>
      </c>
      <c r="H17" s="14" t="s">
        <v>180</v>
      </c>
    </row>
    <row r="18" spans="1:8" x14ac:dyDescent="0.2">
      <c r="A18" s="11" t="s">
        <v>147</v>
      </c>
      <c r="B18" s="25" t="s">
        <v>30</v>
      </c>
      <c r="C18" s="44" cm="1">
        <f t="array" ref="C18">SUMPRODUCT(--ISNUMBER(SEARCH({"near miss","potentially","no injur","not injur","no serious inj","not serious inj","no need for rescue","uninjured","not injur"},#REF!)))</f>
        <v>0</v>
      </c>
      <c r="D18" s="44" cm="1">
        <f t="array" ref="D18">SUMPRODUCT(--ISNUMBER(SEARCH({"near miss","potentially","no injur","not injur","no serious inj","not seriously inj","not injur","no need for rescue","uninjured","declined an ambulance","declined","stranding","stranded"},#REF!)))</f>
        <v>0</v>
      </c>
      <c r="E18" s="16"/>
      <c r="F18" s="16" t="s">
        <v>26</v>
      </c>
      <c r="G18" s="26"/>
      <c r="H18" s="14" t="s">
        <v>180</v>
      </c>
    </row>
    <row r="19" spans="1:8" ht="17" thickBot="1" x14ac:dyDescent="0.25">
      <c r="A19" s="12" t="s">
        <v>146</v>
      </c>
      <c r="B19" s="27" t="s">
        <v>31</v>
      </c>
      <c r="C19" s="45">
        <f>SUMPRODUCT(--ISNUMBER(SEARCH({"concussion","head inj"},#REF!)))</f>
        <v>0</v>
      </c>
      <c r="D19" s="45" cm="1">
        <f t="array" ref="D19">SUMPRODUCT(--ISNUMBER(SEARCH({"head and","brain","concussion","unconscious","coma","no memory of","doesn't remember","head injur","memory loss"},#REF!)))</f>
        <v>0</v>
      </c>
      <c r="E19" s="18"/>
      <c r="F19" s="18" t="s">
        <v>26</v>
      </c>
      <c r="G19" s="28" t="s">
        <v>32</v>
      </c>
      <c r="H19" s="14" t="s">
        <v>180</v>
      </c>
    </row>
    <row r="20" spans="1:8" x14ac:dyDescent="0.2">
      <c r="A20" s="10"/>
      <c r="B20" s="63" t="s">
        <v>33</v>
      </c>
      <c r="C20" s="66"/>
      <c r="D20" s="66"/>
      <c r="E20" s="66"/>
      <c r="F20" s="66"/>
      <c r="G20" s="67"/>
      <c r="H20" s="14" t="s">
        <v>180</v>
      </c>
    </row>
    <row r="21" spans="1:8" x14ac:dyDescent="0.2">
      <c r="A21" s="8" t="s">
        <v>146</v>
      </c>
      <c r="B21" s="29" t="s">
        <v>34</v>
      </c>
      <c r="C21" s="48" cm="1">
        <f t="array" ref="C21">SUMPRODUCT(--ISNUMBER(SEARCH({"descent","down climbing","down-climbing","downclimb","descend"},D10)))</f>
        <v>0</v>
      </c>
      <c r="D21" s="48" cm="1">
        <f t="array" ref="D21">SUMPRODUCT(--ISNUMBER(SEARCH({"descend","descending","began to descend","to descend","started to down","began to down","down climb","descent","descent route","down-climb","downclimb","walk off","began rappel","started rappel","started to rappel","walk off","couldn't find descent","could not find descent","unable to desc","unable to retreat"},G10)))</f>
        <v>0</v>
      </c>
      <c r="E21" s="30" t="s">
        <v>35</v>
      </c>
      <c r="F21" s="30" t="s">
        <v>36</v>
      </c>
      <c r="G21" s="31" t="s">
        <v>37</v>
      </c>
      <c r="H21" s="14" t="s">
        <v>180</v>
      </c>
    </row>
    <row r="22" spans="1:8" x14ac:dyDescent="0.2">
      <c r="A22" s="8" t="s">
        <v>147</v>
      </c>
      <c r="B22" s="29" t="s">
        <v>38</v>
      </c>
      <c r="C22" s="48"/>
      <c r="D22" s="48" cm="1">
        <f t="array" ref="D22">SUMPRODUCT(--ISNUMBER(SEARCH({"rope team","the rope","on belay","belayer","belayed"},G20)))</f>
        <v>0</v>
      </c>
      <c r="E22" s="30" t="s">
        <v>39</v>
      </c>
      <c r="F22" s="30" t="s">
        <v>36</v>
      </c>
      <c r="G22" s="31" t="s">
        <v>40</v>
      </c>
      <c r="H22" s="14" t="s">
        <v>180</v>
      </c>
    </row>
    <row r="23" spans="1:8" x14ac:dyDescent="0.2">
      <c r="A23" s="8" t="s">
        <v>147</v>
      </c>
      <c r="B23" s="29" t="s">
        <v>41</v>
      </c>
      <c r="C23" s="48" cm="1">
        <f t="array" ref="C23">SUMPRODUCT(--ISNUMBER(SEARCH({"placed","cam","nut","pulled","came out","inadequate prot","chock","hex"},D20)))</f>
        <v>0</v>
      </c>
      <c r="D23" s="48" cm="1">
        <f t="array" ref="D23">SUMPRODUCT(--ISNUMBER(SEARCH({"placed","cam","nut","pulled","came out","inadequate prot","chock","hex"},G20)))</f>
        <v>0</v>
      </c>
      <c r="E23" s="30"/>
      <c r="F23" s="30" t="s">
        <v>42</v>
      </c>
      <c r="G23" s="31"/>
      <c r="H23" s="14" t="s">
        <v>180</v>
      </c>
    </row>
    <row r="24" spans="1:8" x14ac:dyDescent="0.2">
      <c r="A24" s="8" t="s">
        <v>147</v>
      </c>
      <c r="B24" s="29" t="s">
        <v>43</v>
      </c>
      <c r="C24" s="48" cm="1">
        <f t="array" ref="C24">SUMPRODUCT(--ISNUMBER(SEARCH({"sport clim"," quickdraw","bolt"},#REF!)))</f>
        <v>0</v>
      </c>
      <c r="D24" s="48" cm="1">
        <f t="array" ref="D24">SUMPRODUCT(--ISNUMBER(SEARCH({"sport clim"," quickdraw","bolt"},#REF!)))</f>
        <v>0</v>
      </c>
      <c r="E24" s="30"/>
      <c r="F24" s="30" t="s">
        <v>42</v>
      </c>
      <c r="G24" s="31"/>
      <c r="H24" s="14" t="s">
        <v>180</v>
      </c>
    </row>
    <row r="25" spans="1:8" x14ac:dyDescent="0.2">
      <c r="A25" s="8" t="s">
        <v>147</v>
      </c>
      <c r="B25" s="29" t="s">
        <v>44</v>
      </c>
      <c r="C25" s="48" cm="1">
        <f t="array" ref="C25">SUMPRODUCT(--ISNUMBER(SEARCH({"top rop","top-rop"},C22)))</f>
        <v>0</v>
      </c>
      <c r="D25" s="48" cm="1">
        <f t="array" ref="D25">SUMPRODUCT(--ISNUMBER(SEARCH({"top rop","top-rop"},F22)))</f>
        <v>0</v>
      </c>
      <c r="E25" s="30"/>
      <c r="F25" s="30" t="s">
        <v>42</v>
      </c>
      <c r="G25" s="31"/>
      <c r="H25" s="14" t="s">
        <v>180</v>
      </c>
    </row>
    <row r="26" spans="1:8" x14ac:dyDescent="0.2">
      <c r="A26" s="8" t="s">
        <v>147</v>
      </c>
      <c r="B26" s="29" t="s">
        <v>45</v>
      </c>
      <c r="C26" s="48"/>
      <c r="D26" s="48" cm="1">
        <f t="array" ref="D26">SUMPRODUCT(--ISNUMBER(SEARCH({" aider"," aided through","jumar","ascender","haul bag","portaledge","hauling","jugged","aid climb","aid-climb","piton","placing aid","place aid","placed aid","aid place","C1 place","A0","A1","A2","A3","A4","A5","etrier","RURP","beaks","cam hook","French free"},G13)))</f>
        <v>0</v>
      </c>
      <c r="E26" s="30"/>
      <c r="F26" s="30" t="s">
        <v>46</v>
      </c>
      <c r="G26" s="31" t="s">
        <v>47</v>
      </c>
      <c r="H26" s="14" t="s">
        <v>180</v>
      </c>
    </row>
    <row r="27" spans="1:8" x14ac:dyDescent="0.2">
      <c r="A27" s="8" t="s">
        <v>147</v>
      </c>
      <c r="B27" s="29" t="s">
        <v>48</v>
      </c>
      <c r="C27" s="48" cm="1">
        <f t="array" ref="C27">SUMPRODUCT(--ISNUMBER(SEARCH({"unroped","deep water","scrambling","free solo","free-solo","free climb"},D19)))</f>
        <v>0</v>
      </c>
      <c r="D27" s="48" cm="1">
        <f t="array" ref="D27">SUMPRODUCT(--ISNUMBER(SEARCH({"unroped","without a rope","no rope","deep water","scrambl","free solo","free-solo","free climb"},G19)))</f>
        <v>0</v>
      </c>
      <c r="E27" s="30" t="s">
        <v>176</v>
      </c>
      <c r="F27" s="30" t="s">
        <v>36</v>
      </c>
      <c r="G27" s="31" t="s">
        <v>50</v>
      </c>
      <c r="H27" s="14" t="s">
        <v>180</v>
      </c>
    </row>
    <row r="28" spans="1:8" x14ac:dyDescent="0.2">
      <c r="A28" s="8" t="s">
        <v>147</v>
      </c>
      <c r="B28" s="29" t="s">
        <v>51</v>
      </c>
      <c r="C28" s="48" cm="1">
        <f t="array" ref="C28">SUMPRODUCT(--ISNUMBER(SEARCH({"climbing alone","solo","free climbing"},#REF!)))</f>
        <v>0</v>
      </c>
      <c r="D28" s="48"/>
      <c r="E28" s="30"/>
      <c r="F28" s="30" t="s">
        <v>36</v>
      </c>
      <c r="G28" s="31" t="s">
        <v>52</v>
      </c>
      <c r="H28" s="14" t="s">
        <v>180</v>
      </c>
    </row>
    <row r="29" spans="1:8" x14ac:dyDescent="0.2">
      <c r="A29" s="8" t="s">
        <v>147</v>
      </c>
      <c r="B29" s="29" t="s">
        <v>53</v>
      </c>
      <c r="C29" s="48"/>
      <c r="D29" s="48"/>
      <c r="E29" s="30"/>
      <c r="F29" s="30" t="s">
        <v>36</v>
      </c>
      <c r="G29" s="31" t="s">
        <v>54</v>
      </c>
      <c r="H29" s="14" t="s">
        <v>180</v>
      </c>
    </row>
    <row r="30" spans="1:8" x14ac:dyDescent="0.2">
      <c r="A30" s="8" t="s">
        <v>147</v>
      </c>
      <c r="B30" s="29" t="s">
        <v>49</v>
      </c>
      <c r="C30" s="48" cm="1">
        <f t="array" ref="C30">SUMPRODUCT(--ISNUMBER(SEARCH({"highball","bouldering","boulderer"},C24)))</f>
        <v>0</v>
      </c>
      <c r="D30" s="48" cm="1">
        <f t="array" ref="D30">SUMPRODUCT(--ISNUMBER(SEARCH({"highball","bouldering","boulderer"},F24)))</f>
        <v>0</v>
      </c>
      <c r="E30" s="30"/>
      <c r="F30" s="30" t="s">
        <v>42</v>
      </c>
      <c r="G30" s="31" t="s">
        <v>55</v>
      </c>
      <c r="H30" s="14" t="s">
        <v>180</v>
      </c>
    </row>
    <row r="31" spans="1:8" x14ac:dyDescent="0.2">
      <c r="A31" s="8" t="s">
        <v>147</v>
      </c>
      <c r="B31" s="29" t="s">
        <v>56</v>
      </c>
      <c r="C31" s="48" cm="1">
        <f t="array" ref="C31">SUMPRODUCT(--ISNUMBER(SEARCH({"not involve climbing","not a climbing","non-climbing","not counted as"},#REF!)))</f>
        <v>0</v>
      </c>
      <c r="D31" s="48" cm="1">
        <f t="array" ref="D31">SUMPRODUCT(--ISNUMBER(SEARCH({"ski mountaineering","bear","skiing"," ski","snowboard","hiking-related","bike crash","skiier","snowboarder","snoe show","snowsho","scrambl"},#REF!)))</f>
        <v>0</v>
      </c>
      <c r="E31" s="30"/>
      <c r="F31" s="32" t="s">
        <v>36</v>
      </c>
      <c r="G31" s="31"/>
      <c r="H31" s="14" t="s">
        <v>180</v>
      </c>
    </row>
    <row r="32" spans="1:8" x14ac:dyDescent="0.2">
      <c r="A32" s="8" t="s">
        <v>147</v>
      </c>
      <c r="B32" s="29" t="s">
        <v>57</v>
      </c>
      <c r="C32" s="48" cm="1">
        <f t="array" ref="C32">SUMPRODUCT(--ISNUMBER(SEARCH({"summit","glissad","self arrest","self-arrest","Mt","on snow","steam vent","crevasse","avalanche","cornice","serac","snow bridge","snowbridge"},C24)))</f>
        <v>0</v>
      </c>
      <c r="D32" s="48" cm="1">
        <f t="array" ref="D32">SUMPRODUCT(--ISNUMBER(SEARCH({"summit","glissad","glacier","bergschrund","self arrest","self-arrest","Mt","on snow","steam vent","crevasse","avalanche","cornice","serac","snow bridge","snowbridge"},F24)))</f>
        <v>0</v>
      </c>
      <c r="E32" s="30"/>
      <c r="F32" s="30" t="s">
        <v>58</v>
      </c>
      <c r="G32" s="31"/>
      <c r="H32" s="14" t="s">
        <v>180</v>
      </c>
    </row>
    <row r="33" spans="1:8" ht="17" thickBot="1" x14ac:dyDescent="0.25">
      <c r="A33" s="8" t="s">
        <v>147</v>
      </c>
      <c r="B33" s="33" t="s">
        <v>59</v>
      </c>
      <c r="C33" s="49" cm="1">
        <f t="array" ref="C33">SUMPRODUCT(--ISNUMBER(SEARCH({" ice climb","ice climbing","ice tool","tool placement","ice dam","thin ice","unstable route","soft ice","ice screws","ice collapse","waterfall ice","ice ax"},#REF!)))</f>
        <v>0</v>
      </c>
      <c r="D33" s="49" cm="1">
        <f t="array" ref="D33">SUMPRODUCT(--ISNUMBER(SEARCH({" ice climb","ice climbing","ice tool","tool placement","ice dam","thin ice","unstable route","soft ice","ice screws","ice collapse","waterfall ice","ice ax","WI1","WI2","WI3","WI4","WI5","WI6","WI7","M1","M2","M3","M4","M5","M6","M7","M8","M9"},#REF!)))</f>
        <v>0</v>
      </c>
      <c r="E33" s="34"/>
      <c r="F33" s="34" t="s">
        <v>60</v>
      </c>
      <c r="G33" s="35"/>
      <c r="H33" s="14" t="s">
        <v>180</v>
      </c>
    </row>
    <row r="34" spans="1:8" x14ac:dyDescent="0.2">
      <c r="A34" s="10"/>
      <c r="B34" s="63" t="s">
        <v>61</v>
      </c>
      <c r="C34" s="57"/>
      <c r="D34" s="57"/>
      <c r="E34" s="66"/>
      <c r="F34" s="66"/>
      <c r="G34" s="67"/>
      <c r="H34" s="14" t="s">
        <v>180</v>
      </c>
    </row>
    <row r="35" spans="1:8" x14ac:dyDescent="0.2">
      <c r="A35" s="8" t="s">
        <v>146</v>
      </c>
      <c r="B35" s="19" t="s">
        <v>62</v>
      </c>
      <c r="C35" s="46" cm="1">
        <f t="array" ref="C35">SUMPRODUCT(--ISNUMBER(SEARCH({"piton","ice screw"},#REF!)))</f>
        <v>0</v>
      </c>
      <c r="D35" s="46" cm="1">
        <f t="array" ref="D35">SUMPRODUCT(--ISNUMBER(SEARCH({"piton pulled","ice screw pulled","piton blew","ice screw blew","piton came","ice screw came"},#REF!)))</f>
        <v>0</v>
      </c>
      <c r="E35" s="20"/>
      <c r="F35" s="20" t="s">
        <v>63</v>
      </c>
      <c r="G35" s="21"/>
      <c r="H35" s="14" t="s">
        <v>180</v>
      </c>
    </row>
    <row r="36" spans="1:8" x14ac:dyDescent="0.2">
      <c r="A36" s="8" t="s">
        <v>150</v>
      </c>
      <c r="B36" s="19" t="s">
        <v>64</v>
      </c>
      <c r="C36" s="46" cm="1">
        <f t="array" ref="C36">SUMPRODUCT(--ISNUMBER(SEARCH({"HAPE","HACE","altitude illness","High Altitude Cerebral Edema","High Altitude Pulmonary Edema","ascending too","AMS","Acute Mountain Sickness"},#REF!)))</f>
        <v>0</v>
      </c>
      <c r="D36" s="46" cm="1">
        <f t="array" ref="D36">SUMPRODUCT(--ISNUMBER(SEARCH({"HAPE","HACE","altitude illness","High Altitude Cerebral Edema","High Altitude Pulmonary Edema","ascending too","AMS","Acute Mountain Sickness","edema"},#REF!)))</f>
        <v>0</v>
      </c>
      <c r="E36" s="20"/>
      <c r="F36" s="20" t="s">
        <v>63</v>
      </c>
      <c r="G36" s="21" t="s">
        <v>156</v>
      </c>
      <c r="H36" s="14" t="s">
        <v>180</v>
      </c>
    </row>
    <row r="37" spans="1:8" x14ac:dyDescent="0.2">
      <c r="A37" s="8" t="s">
        <v>146</v>
      </c>
      <c r="B37" s="19" t="s">
        <v>66</v>
      </c>
      <c r="C37" s="46" cm="1">
        <f t="array" ref="C37">SUMPRODUCT(--ISNUMBER(SEARCH({"crampon"},#REF!)))</f>
        <v>0</v>
      </c>
      <c r="D37" s="46"/>
      <c r="E37" s="20"/>
      <c r="F37" s="20" t="s">
        <v>63</v>
      </c>
      <c r="G37" s="21" t="s">
        <v>157</v>
      </c>
      <c r="H37" s="14" t="s">
        <v>180</v>
      </c>
    </row>
    <row r="38" spans="1:8" x14ac:dyDescent="0.2">
      <c r="A38" s="8" t="s">
        <v>150</v>
      </c>
      <c r="B38" s="19" t="s">
        <v>67</v>
      </c>
      <c r="C38" s="46" cm="1">
        <f t="array" ref="C38">SUMPRODUCT(--ISNUMBER(SEARCH({"glissad"},#REF!)))</f>
        <v>0</v>
      </c>
      <c r="D38" s="46"/>
      <c r="E38" s="20"/>
      <c r="F38" s="20" t="s">
        <v>63</v>
      </c>
      <c r="G38" s="21" t="s">
        <v>151</v>
      </c>
      <c r="H38" s="14" t="s">
        <v>180</v>
      </c>
    </row>
    <row r="39" spans="1:8" x14ac:dyDescent="0.2">
      <c r="A39" s="8" t="s">
        <v>146</v>
      </c>
      <c r="B39" s="19" t="s">
        <v>68</v>
      </c>
      <c r="C39" s="46"/>
      <c r="D39" s="46" cm="1">
        <f t="array" ref="D39">SUMPRODUCT(--ISNUMBER(SEARCH({" ski"},#REF!)))</f>
        <v>0</v>
      </c>
      <c r="E39" s="20"/>
      <c r="F39" s="20" t="s">
        <v>63</v>
      </c>
      <c r="G39" s="21" t="s">
        <v>69</v>
      </c>
      <c r="H39" s="14" t="s">
        <v>180</v>
      </c>
    </row>
    <row r="40" spans="1:8" ht="17" thickBot="1" x14ac:dyDescent="0.25">
      <c r="A40" s="8" t="s">
        <v>146</v>
      </c>
      <c r="B40" s="22" t="s">
        <v>70</v>
      </c>
      <c r="C40" s="47" cm="1">
        <f t="array" ref="C40">SUMPRODUCT(--ISNUMBER(SEARCH({"position","transition error"},#REF!)))</f>
        <v>0</v>
      </c>
      <c r="D40" s="47" cm="1">
        <f t="array" ref="D40">SUMPRODUCT(--ISNUMBER(SEARCH({"poor position","unsafe position"},#REF!)))</f>
        <v>0</v>
      </c>
      <c r="E40" s="23"/>
      <c r="F40" s="23" t="s">
        <v>63</v>
      </c>
      <c r="G40" s="24"/>
      <c r="H40" s="14" t="s">
        <v>180</v>
      </c>
    </row>
    <row r="41" spans="1:8" x14ac:dyDescent="0.2">
      <c r="A41" s="10"/>
      <c r="B41" s="63" t="s">
        <v>71</v>
      </c>
      <c r="C41" s="66"/>
      <c r="D41" s="66"/>
      <c r="E41" s="66"/>
      <c r="F41" s="66"/>
      <c r="G41" s="67"/>
      <c r="H41" s="14" t="s">
        <v>180</v>
      </c>
    </row>
    <row r="42" spans="1:8" x14ac:dyDescent="0.2">
      <c r="A42" s="8" t="s">
        <v>147</v>
      </c>
      <c r="B42" s="36" t="s">
        <v>72</v>
      </c>
      <c r="C42" s="13" cm="1">
        <f t="array" ref="C42">SUMPRODUCT(--ISNUMBER(SEARCH({"darkness","visibility","whiteout","white out","low light"},#REF!)))</f>
        <v>0</v>
      </c>
      <c r="D42" s="13" cm="1">
        <f t="array" ref="D42">SUMPRODUCT(--ISNUMBER(SEARCH({"visibility","whiteout","white out","low light","relatively dark","getting dark","got dark","was dark","became dark","headlamp","flashlight","darkness","was dark","grew dark"},#REF!)))</f>
        <v>0</v>
      </c>
      <c r="E42" s="37"/>
      <c r="F42" s="37" t="s">
        <v>63</v>
      </c>
      <c r="G42" s="38" t="s">
        <v>73</v>
      </c>
      <c r="H42" s="14" t="s">
        <v>180</v>
      </c>
    </row>
    <row r="43" spans="1:8" x14ac:dyDescent="0.2">
      <c r="A43" s="8" t="s">
        <v>150</v>
      </c>
      <c r="B43" s="36" t="s">
        <v>74</v>
      </c>
      <c r="C43" s="13" cm="1">
        <f t="array" ref="C43">SUMPRODUCT(--ISNUMBER(SEARCH({"weather","lightning","earthquake","storm","act of god","act of nature"},#REF!)))</f>
        <v>0</v>
      </c>
      <c r="D43" s="13" cm="1">
        <f t="array" ref="D43">SUMPRODUCT(--ISNUMBER(SEARCH({"lightning","earthquake","blizzard"},#REF!)))</f>
        <v>0</v>
      </c>
      <c r="E43" s="37"/>
      <c r="F43" s="37" t="s">
        <v>63</v>
      </c>
      <c r="G43" s="38" t="s">
        <v>155</v>
      </c>
      <c r="H43" s="14" t="s">
        <v>180</v>
      </c>
    </row>
    <row r="44" spans="1:8" x14ac:dyDescent="0.2">
      <c r="A44" s="8" t="s">
        <v>150</v>
      </c>
      <c r="B44" s="36" t="s">
        <v>75</v>
      </c>
      <c r="C44" s="13" cm="1">
        <f t="array" ref="C44">SUMPRODUCT(--ISNUMBER(SEARCH({"rockfall","rock fall","rockslide","rock slide","falling rock","sized rock"},#REF!)))</f>
        <v>0</v>
      </c>
      <c r="D44" s="13"/>
      <c r="E44" s="37"/>
      <c r="F44" s="37" t="s">
        <v>63</v>
      </c>
      <c r="G44" s="38" t="s">
        <v>164</v>
      </c>
      <c r="H44" s="14" t="s">
        <v>180</v>
      </c>
    </row>
    <row r="45" spans="1:8" ht="17" thickBot="1" x14ac:dyDescent="0.25">
      <c r="A45" s="9" t="s">
        <v>147</v>
      </c>
      <c r="B45" s="39" t="s">
        <v>76</v>
      </c>
      <c r="C45" s="50" cm="1">
        <f t="array" ref="C45">SUMPRODUCT(--ISNUMBER(SEARCH({"rockfall","rock fall","rockslide","rock slide","falling rock","sized rock"},G3)))</f>
        <v>0</v>
      </c>
      <c r="D45" s="50"/>
      <c r="E45" s="40"/>
      <c r="F45" s="40" t="s">
        <v>63</v>
      </c>
      <c r="G45" s="41" t="s">
        <v>152</v>
      </c>
      <c r="H45" s="14" t="s">
        <v>180</v>
      </c>
    </row>
    <row r="46" spans="1:8" x14ac:dyDescent="0.2">
      <c r="A46" s="10"/>
      <c r="B46" s="63" t="s">
        <v>77</v>
      </c>
      <c r="C46" s="66"/>
      <c r="D46" s="66"/>
      <c r="E46" s="66"/>
      <c r="F46" s="66"/>
      <c r="G46" s="67"/>
      <c r="H46" s="14" t="s">
        <v>180</v>
      </c>
    </row>
    <row r="47" spans="1:8" x14ac:dyDescent="0.2">
      <c r="A47" s="8" t="s">
        <v>146</v>
      </c>
      <c r="B47" s="36" t="s">
        <v>78</v>
      </c>
      <c r="C47" s="13" cm="1">
        <f t="array" ref="C47">SUMPRODUCT(--ISNUMBER(SEARCH({"avalanche"},#REF!)))</f>
        <v>0</v>
      </c>
      <c r="D47" s="13" cm="1">
        <f t="array" ref="D47">SUMPRODUCT(--ISNUMBER(SEARCH({"avalanche"},#REF!)))</f>
        <v>0</v>
      </c>
      <c r="E47" s="37"/>
      <c r="F47" s="37" t="s">
        <v>63</v>
      </c>
      <c r="G47" s="42" t="s">
        <v>79</v>
      </c>
      <c r="H47" s="14" t="s">
        <v>180</v>
      </c>
    </row>
    <row r="48" spans="1:8" x14ac:dyDescent="0.2">
      <c r="A48" s="8" t="s">
        <v>153</v>
      </c>
      <c r="B48" s="36" t="s">
        <v>80</v>
      </c>
      <c r="C48" s="13" cm="1">
        <f t="array" ref="C48">SUMPRODUCT(--ISNUMBER(SEARCH({"poor conditions","late in season","soft snow"},#REF!)))</f>
        <v>0</v>
      </c>
      <c r="D48" s="13"/>
      <c r="E48" s="37"/>
      <c r="F48" s="37" t="s">
        <v>63</v>
      </c>
      <c r="G48" s="38" t="s">
        <v>154</v>
      </c>
      <c r="H48" s="14" t="s">
        <v>180</v>
      </c>
    </row>
    <row r="49" spans="1:8" x14ac:dyDescent="0.2">
      <c r="A49" s="8" t="s">
        <v>147</v>
      </c>
      <c r="B49" s="36" t="s">
        <v>81</v>
      </c>
      <c r="C49" s="13" cm="1">
        <f t="array" ref="C49">SUMPRODUCT(--ISNUMBER(SEARCH({"cornice","snow bridge","bridge collapse"},#REF!)))</f>
        <v>0</v>
      </c>
      <c r="D49" s="13"/>
      <c r="E49" s="37"/>
      <c r="F49" s="37" t="s">
        <v>63</v>
      </c>
      <c r="G49" s="38"/>
      <c r="H49" s="14" t="s">
        <v>180</v>
      </c>
    </row>
    <row r="50" spans="1:8" x14ac:dyDescent="0.2">
      <c r="A50" s="8" t="s">
        <v>147</v>
      </c>
      <c r="B50" s="36" t="s">
        <v>82</v>
      </c>
      <c r="C50" s="13" cm="1">
        <f t="array" ref="C50">SUMPRODUCT(--ISNUMBER(SEARCH({"bergschrund"},D19)))</f>
        <v>0</v>
      </c>
      <c r="D50" s="13"/>
      <c r="E50" s="37"/>
      <c r="F50" s="37" t="s">
        <v>63</v>
      </c>
      <c r="G50" s="38" t="s">
        <v>83</v>
      </c>
      <c r="H50" s="14" t="s">
        <v>180</v>
      </c>
    </row>
    <row r="51" spans="1:8" x14ac:dyDescent="0.2">
      <c r="A51" s="8" t="s">
        <v>147</v>
      </c>
      <c r="B51" s="36" t="s">
        <v>84</v>
      </c>
      <c r="C51" s="13" cm="1">
        <f t="array" ref="C51">SUMPRODUCT(--ISNUMBER(SEARCH({"crevasse","moat","bergschrund"},D19)))</f>
        <v>0</v>
      </c>
      <c r="D51" s="13"/>
      <c r="E51" s="37"/>
      <c r="F51" s="37" t="s">
        <v>63</v>
      </c>
      <c r="G51" s="38" t="s">
        <v>85</v>
      </c>
      <c r="H51" s="14" t="s">
        <v>180</v>
      </c>
    </row>
    <row r="52" spans="1:8" x14ac:dyDescent="0.2">
      <c r="A52" s="8" t="s">
        <v>147</v>
      </c>
      <c r="B52" s="36" t="s">
        <v>86</v>
      </c>
      <c r="C52" s="13" cm="1">
        <f t="array" ref="C52">SUMPRODUCT(--ISNUMBER(SEARCH({"serac","icefall","ice fall","ice avalanche"},#REF!)))</f>
        <v>0</v>
      </c>
      <c r="D52" s="13" cm="1">
        <f t="array" ref="D52">SUMPRODUCT(--ISNUMBER(SEARCH({"serac fall","icefall","ice fall","ice avalanche","cracked off","falling ice","ice break"," ice broke","fracture of ice","ice fracture","calved"},#REF!)))</f>
        <v>0</v>
      </c>
      <c r="E52" s="37"/>
      <c r="F52" s="37" t="s">
        <v>63</v>
      </c>
      <c r="G52" s="38" t="s">
        <v>87</v>
      </c>
      <c r="H52" s="14" t="s">
        <v>180</v>
      </c>
    </row>
    <row r="53" spans="1:8" ht="17" thickBot="1" x14ac:dyDescent="0.25">
      <c r="A53" s="9" t="s">
        <v>146</v>
      </c>
      <c r="B53" s="39" t="s">
        <v>88</v>
      </c>
      <c r="C53" s="50" cm="1">
        <f t="array" ref="C53">SUMPRODUCT(--ISNUMBER(SEARCH({"hypothermia","inadequate clothing","frostbite","exposure"},#REF!)))</f>
        <v>0</v>
      </c>
      <c r="D53" s="50" cm="1">
        <f t="array" ref="D53">SUMPRODUCT(--ISNUMBER(SEARCH({"hypothermi","inadequate clothing","frostbit","exposure","chilled","rewarm","body temperature"},#REF!)))</f>
        <v>0</v>
      </c>
      <c r="E53" s="40"/>
      <c r="F53" s="40" t="s">
        <v>63</v>
      </c>
      <c r="G53" s="41"/>
      <c r="H53" s="14" t="s">
        <v>180</v>
      </c>
    </row>
    <row r="54" spans="1:8" x14ac:dyDescent="0.2">
      <c r="A54" s="10"/>
      <c r="B54" s="63" t="s">
        <v>89</v>
      </c>
      <c r="C54" s="66"/>
      <c r="D54" s="66"/>
      <c r="E54" s="66"/>
      <c r="F54" s="66"/>
      <c r="G54" s="67"/>
      <c r="H54" s="14" t="s">
        <v>180</v>
      </c>
    </row>
    <row r="55" spans="1:8" x14ac:dyDescent="0.2">
      <c r="A55" s="8" t="s">
        <v>150</v>
      </c>
      <c r="B55" s="15" t="s">
        <v>65</v>
      </c>
      <c r="C55" s="44" cm="1">
        <f t="array" ref="C55">SUMPRODUCT(--ISNUMBER(SEARCH({"appendicitis","preexisting","pre-existing","blood pressure","medication","ill","thrombosis","illness","infection","heart attack","ischemic","TIA","respiratory","seizure"},#REF!)))</f>
        <v>0</v>
      </c>
      <c r="D55" s="44" cm="1">
        <f t="array" ref="D55">SUMPRODUCT(--ISNUMBER(SEARCH({"appendicitis","previous medical","preexisting","pre-existing","blood pressure","medication","ill","thrombosis","illness","infection","heart attack","ischemic","TIA","respiratory"},#REF!)))</f>
        <v>0</v>
      </c>
      <c r="E55" s="16"/>
      <c r="F55" s="16" t="s">
        <v>63</v>
      </c>
      <c r="G55" s="26" t="s">
        <v>179</v>
      </c>
      <c r="H55" s="14" t="s">
        <v>180</v>
      </c>
    </row>
    <row r="56" spans="1:8" x14ac:dyDescent="0.2">
      <c r="A56" s="8" t="s">
        <v>150</v>
      </c>
      <c r="B56" s="15" t="s">
        <v>90</v>
      </c>
      <c r="C56" s="44" cm="1">
        <f t="array" ref="C56">SUMPRODUCT(--ISNUMBER(SEARCH({"off route","off-route","follow route","following route","navigation","route-find","route find"},#REF!)))</f>
        <v>0</v>
      </c>
      <c r="D56" s="44"/>
      <c r="E56" s="16"/>
      <c r="F56" s="16" t="s">
        <v>63</v>
      </c>
      <c r="G56" s="26" t="s">
        <v>165</v>
      </c>
      <c r="H56" s="14" t="s">
        <v>180</v>
      </c>
    </row>
    <row r="57" spans="1:8" x14ac:dyDescent="0.2">
      <c r="A57" s="8" t="s">
        <v>147</v>
      </c>
      <c r="B57" s="15" t="s">
        <v>91</v>
      </c>
      <c r="C57" s="44"/>
      <c r="D57" s="44" cm="1">
        <f t="array" ref="D57">SUMPRODUCT(--ISNUMBER(SEARCH({"hurrying","hurried","haste"," rushed","rushing","late start"," ascended too fast","in a hurry","climbing fast","moving fast","running behind","running late","behind schedule","to schedule","fast as possible","too fast","too quickly","without stopping","go slower"},F10)))</f>
        <v>0</v>
      </c>
      <c r="E57" s="16"/>
      <c r="F57" s="16" t="s">
        <v>63</v>
      </c>
      <c r="G57" s="26"/>
      <c r="H57" s="14" t="s">
        <v>180</v>
      </c>
    </row>
    <row r="58" spans="1:8" x14ac:dyDescent="0.2">
      <c r="A58" s="8" t="s">
        <v>147</v>
      </c>
      <c r="B58" s="15" t="s">
        <v>92</v>
      </c>
      <c r="C58" s="44" cm="1">
        <f t="array" ref="C58">SUMPRODUCT(--ISNUMBER(SEARCH({"run out","runnout","above my last","above the last","far above","far below","long fall","run-out","run - out","run it out"},F11)))</f>
        <v>0</v>
      </c>
      <c r="D58" s="44" cm="1">
        <f t="array" ref="D58">SUMPRODUCT(--ISNUMBER(SEARCH({"run out","runnout","run-out","run - out","run it out"},F10)))</f>
        <v>0</v>
      </c>
      <c r="E58" s="16"/>
      <c r="F58" s="16" t="s">
        <v>63</v>
      </c>
      <c r="G58" s="26"/>
      <c r="H58" s="14" t="s">
        <v>180</v>
      </c>
    </row>
    <row r="59" spans="1:8" x14ac:dyDescent="0.2">
      <c r="A59" s="8" t="s">
        <v>147</v>
      </c>
      <c r="B59" s="15" t="s">
        <v>93</v>
      </c>
      <c r="C59" s="44" cm="1">
        <f t="array" ref="C59">SUMPRODUCT(--ISNUMBER(SEARCH({"crowding","overcrowded","climbers above","party above","crowded","crowds","group of","parties"},F10)))</f>
        <v>0</v>
      </c>
      <c r="D59" s="44" cm="1">
        <f t="array" ref="D59">SUMPRODUCT(--ISNUMBER(SEARCH({"crowding","overcrowded","climbers above","party above","crowded","crowds"},F10)))</f>
        <v>0</v>
      </c>
      <c r="E59" s="16"/>
      <c r="F59" s="16" t="s">
        <v>63</v>
      </c>
      <c r="G59" s="26" t="s">
        <v>94</v>
      </c>
      <c r="H59" s="14" t="s">
        <v>180</v>
      </c>
    </row>
    <row r="60" spans="1:8" x14ac:dyDescent="0.2">
      <c r="A60" s="8" t="s">
        <v>146</v>
      </c>
      <c r="B60" s="15" t="s">
        <v>95</v>
      </c>
      <c r="C60" s="44" cm="1">
        <f t="array" ref="C60">SUMPRODUCT(--ISNUMBER(SEARCH({"ran out of","inadequate food","inadequate water"},#REF!)))</f>
        <v>0</v>
      </c>
      <c r="D60" s="44" cm="1">
        <f t="array" ref="D60">SUMPRODUCT(--ISNUMBER(SEARCH({"ran out of","inadequate food","inadequate water"},#REF!)))</f>
        <v>0</v>
      </c>
      <c r="E60" s="16"/>
      <c r="F60" s="16" t="s">
        <v>63</v>
      </c>
      <c r="G60" s="26"/>
      <c r="H60" s="14" t="s">
        <v>180</v>
      </c>
    </row>
    <row r="61" spans="1:8" x14ac:dyDescent="0.2">
      <c r="A61" s="8" t="s">
        <v>146</v>
      </c>
      <c r="B61" s="15" t="s">
        <v>96</v>
      </c>
      <c r="C61" s="44" cm="1">
        <f t="array" ref="C61">SUMPRODUCT(--ISNUMBER(SEARCH({"no hard hat","no helmet","not wearing a helmet","without a helmet","had been wearing a helmet"},#REF!)))</f>
        <v>0</v>
      </c>
      <c r="D61" s="44" cm="1">
        <f t="array" ref="D61">SUMPRODUCT(--ISNUMBER(SEARCH({"no hard hat","no helmet","not wearing a helmet","not to wear a helmet","not to wear helmet","without a helmet","had been wearing a helmet","usually wear a helmet","didn't wear a helmet","wasn't wearing a helmet"},#REF!)))</f>
        <v>0</v>
      </c>
      <c r="E61" s="16"/>
      <c r="F61" s="16" t="s">
        <v>63</v>
      </c>
      <c r="G61" s="26"/>
      <c r="H61" s="14" t="s">
        <v>180</v>
      </c>
    </row>
    <row r="62" spans="1:8" x14ac:dyDescent="0.2">
      <c r="A62" s="8" t="s">
        <v>147</v>
      </c>
      <c r="B62" s="15" t="s">
        <v>97</v>
      </c>
      <c r="C62" s="44" cm="1">
        <f t="array" ref="C62">SUMPRODUCT(--ISNUMBER(SEARCH({"late start","darkness","last climb","end of the day","end of day","late in the day","daylight"},#REF!)))</f>
        <v>0</v>
      </c>
      <c r="D62" s="44" cm="1">
        <f t="array" ref="D62">SUMPRODUCT(--ISNUMBER(SEARCH({"late start","darkness","last climb","end of the day","end of day","late in the day","lateness of","late hour","a long day","time of day","sunset","nightfall","been a long day","darkness","was dark","grew dark"},#REF!)))</f>
        <v>0</v>
      </c>
      <c r="E62" s="16"/>
      <c r="F62" s="16" t="s">
        <v>63</v>
      </c>
      <c r="G62" s="26" t="s">
        <v>98</v>
      </c>
      <c r="H62" s="14" t="s">
        <v>180</v>
      </c>
    </row>
    <row r="63" spans="1:8" x14ac:dyDescent="0.2">
      <c r="A63" s="8" t="s">
        <v>147</v>
      </c>
      <c r="B63" s="15" t="s">
        <v>99</v>
      </c>
      <c r="C63" s="44" cm="1">
        <f t="array" ref="C63">SUMPRODUCT(--ISNUMBER(SEARCH({"late start"},F10)))</f>
        <v>0</v>
      </c>
      <c r="D63" s="44" cm="1">
        <f t="array" ref="D63">SUMPRODUCT(--ISNUMBER(SEARCH({"late start","started late"},F10)))</f>
        <v>0</v>
      </c>
      <c r="E63" s="16"/>
      <c r="F63" s="16" t="s">
        <v>63</v>
      </c>
      <c r="G63" s="26" t="s">
        <v>100</v>
      </c>
      <c r="H63" s="14" t="s">
        <v>180</v>
      </c>
    </row>
    <row r="64" spans="1:8" x14ac:dyDescent="0.2">
      <c r="A64" s="8" t="s">
        <v>146</v>
      </c>
      <c r="B64" s="15" t="s">
        <v>101</v>
      </c>
      <c r="C64" s="44" cm="1">
        <f t="array" ref="C64">SUMPRODUCT(--ISNUMBER(SEARCH({"separated","seperated"},#REF!)))</f>
        <v>0</v>
      </c>
      <c r="D64" s="44"/>
      <c r="E64" s="16"/>
      <c r="F64" s="16" t="s">
        <v>63</v>
      </c>
      <c r="G64" s="26"/>
      <c r="H64" s="14" t="s">
        <v>180</v>
      </c>
    </row>
    <row r="65" spans="1:8" x14ac:dyDescent="0.2">
      <c r="A65" s="8" t="s">
        <v>147</v>
      </c>
      <c r="B65" s="15" t="s">
        <v>102</v>
      </c>
      <c r="C65" s="44" cm="1">
        <f t="array" ref="C65">SUMPRODUCT(--ISNUMBER(SEARCH({"ledge"},F40)))</f>
        <v>0</v>
      </c>
      <c r="D65" s="44" cm="1">
        <f t="array" ref="D65">SUMPRODUCT(--ISNUMBER(SEARCH({"ledge","on a ledge","the belay ledge"},G40)))</f>
        <v>0</v>
      </c>
      <c r="E65" s="16"/>
      <c r="F65" s="16" t="s">
        <v>63</v>
      </c>
      <c r="G65" s="26" t="s">
        <v>103</v>
      </c>
      <c r="H65" s="14" t="s">
        <v>180</v>
      </c>
    </row>
    <row r="66" spans="1:8" x14ac:dyDescent="0.2">
      <c r="A66" s="8" t="s">
        <v>158</v>
      </c>
      <c r="B66" s="15" t="s">
        <v>104</v>
      </c>
      <c r="C66" s="44" cm="1">
        <f t="array" ref="C66">SUMPRODUCT(--ISNUMBER(SEARCH({"gym","artificial wall","climbing wall"},C60)))</f>
        <v>0</v>
      </c>
      <c r="D66" s="44" cm="1">
        <f t="array" ref="D66">SUMPRODUCT(--ISNUMBER(SEARCH({"gym","artificial wall","climbing wall","indoor wall"},F60)))</f>
        <v>0</v>
      </c>
      <c r="E66" s="16"/>
      <c r="F66" s="16" t="s">
        <v>63</v>
      </c>
      <c r="G66" s="26" t="s">
        <v>159</v>
      </c>
      <c r="H66" s="14" t="s">
        <v>180</v>
      </c>
    </row>
    <row r="67" spans="1:8" x14ac:dyDescent="0.2">
      <c r="A67" s="8" t="s">
        <v>147</v>
      </c>
      <c r="B67" s="15" t="s">
        <v>105</v>
      </c>
      <c r="C67" s="44"/>
      <c r="D67" s="44" cm="1">
        <f t="array" ref="D67">SUMPRODUCT(--ISNUMBER(SEARCH({"gym","artificial wall","climbing wall","indoor wall"},F61)))</f>
        <v>0</v>
      </c>
      <c r="E67" s="16"/>
      <c r="F67" s="16" t="s">
        <v>63</v>
      </c>
      <c r="G67" s="26" t="s">
        <v>106</v>
      </c>
      <c r="H67" s="14" t="s">
        <v>180</v>
      </c>
    </row>
    <row r="68" spans="1:8" x14ac:dyDescent="0.2">
      <c r="A68" s="8" t="s">
        <v>147</v>
      </c>
      <c r="B68" s="15" t="s">
        <v>107</v>
      </c>
      <c r="C68" s="44" cm="1">
        <f t="array" ref="C68">SUMPRODUCT(--ISNUMBER(SEARCH({"fatigue"," failure to clip"," exhaustion","too heavy","too much","heavy pack","tired"},#REF!)))</f>
        <v>0</v>
      </c>
      <c r="D68" s="44" cm="1">
        <f t="array" ref="D68">SUMPRODUCT(--ISNUMBER(SEARCH({"fatigue"," failure to clip","failed to clip","exhaustion","too heavy","heavy pack","mentally tired","physically tired","not well-rested"," not rested","very tired"},#REF!)))</f>
        <v>0</v>
      </c>
      <c r="E68" s="16"/>
      <c r="F68" s="16" t="s">
        <v>63</v>
      </c>
      <c r="G68" s="26" t="s">
        <v>160</v>
      </c>
      <c r="H68" s="14" t="s">
        <v>180</v>
      </c>
    </row>
    <row r="69" spans="1:8" x14ac:dyDescent="0.2">
      <c r="A69" s="8" t="s">
        <v>147</v>
      </c>
      <c r="B69" s="15" t="s">
        <v>108</v>
      </c>
      <c r="C69" s="44" cm="1">
        <f t="array" ref="C69">SUMPRODUCT(--ISNUMBER(SEARCH({"party of","group of","the group","-member","-climber","-person","large party","students","teachers","class","school"},#REF!)))</f>
        <v>0</v>
      </c>
      <c r="D69" s="44" cm="1">
        <f t="array" ref="D69">SUMPRODUCT(--ISNUMBER(SEARCH({"party of","climbing group","group climbing","group of climbers","group of","the group","-member","-climber","-person","large party","students","teachers","class","school","party of six","party of seven","party of eight","party of nine","party of ten"},#REF!)))</f>
        <v>0</v>
      </c>
      <c r="E69" s="16"/>
      <c r="F69" s="16" t="s">
        <v>63</v>
      </c>
      <c r="G69" s="26" t="s">
        <v>109</v>
      </c>
      <c r="H69" s="14" t="s">
        <v>180</v>
      </c>
    </row>
    <row r="70" spans="1:8" x14ac:dyDescent="0.2">
      <c r="A70" s="8" t="s">
        <v>147</v>
      </c>
      <c r="B70" s="15" t="s">
        <v>110</v>
      </c>
      <c r="C70" s="44" cm="1">
        <f t="array" ref="C70">SUMPRODUCT(--ISNUMBER(SEARCH({"distracted","distraction","inattention","concentration"},#REF!)))</f>
        <v>0</v>
      </c>
      <c r="D70" s="44" cm="1">
        <f t="array" ref="D70">SUMPRODUCT(--ISNUMBER(SEARCH({"distracted","distraction","distracting","inattention","concentration","lost my focus","loss of focus","lost focus","didn't focus","couldn't focus","t focused","t concentrating","couldn't concentrate","didn't concentrate","didn't focus"},#REF!)))</f>
        <v>0</v>
      </c>
      <c r="E70" s="16"/>
      <c r="F70" s="16" t="s">
        <v>63</v>
      </c>
      <c r="G70" s="26" t="s">
        <v>161</v>
      </c>
      <c r="H70" s="14" t="s">
        <v>180</v>
      </c>
    </row>
    <row r="71" spans="1:8" x14ac:dyDescent="0.2">
      <c r="A71" s="8" t="s">
        <v>150</v>
      </c>
      <c r="B71" s="15" t="s">
        <v>111</v>
      </c>
      <c r="C71" s="44">
        <f>SUMPRODUCT(--ISNUMBER(SEARCH({"came loose","pulled flake","dislodged","dropped","debris","bag fell"},#REF!)))</f>
        <v>0</v>
      </c>
      <c r="D71" s="44" cm="1">
        <f t="array" ref="D71">SUMPRODUCT(--ISNUMBER(SEARCH({"came loose","pulled flake","dislodged","dropped","debris","bag fell","pulled off","fallen on his","fallen on their","fallen on her"},#REF!)))</f>
        <v>0</v>
      </c>
      <c r="E71" s="16"/>
      <c r="F71" s="16" t="s">
        <v>63</v>
      </c>
      <c r="G71" s="26" t="s">
        <v>163</v>
      </c>
      <c r="H71" s="14" t="s">
        <v>180</v>
      </c>
    </row>
    <row r="72" spans="1:8" x14ac:dyDescent="0.2">
      <c r="A72" s="8" t="s">
        <v>146</v>
      </c>
      <c r="B72" s="15" t="s">
        <v>112</v>
      </c>
      <c r="C72" s="44">
        <f>SUMPRODUCT(--ISNUMBER(SEARCH({"handhold","breaks","ledge br","hand-hold","foothold","foot-hold","loose hold","loose rock","came loose","pulled flake","pulled loose"},#REF!)))</f>
        <v>0</v>
      </c>
      <c r="D72" s="44" cm="1">
        <f t="array" ref="D72">SUMPRODUCT(--ISNUMBER(SEARCH({"handhold","hand-hold","foothold","foot-hold","loose hold","loose rock","breaks","came loose","pulled flake"},#REF!)))</f>
        <v>0</v>
      </c>
      <c r="E72" s="16"/>
      <c r="F72" s="16" t="s">
        <v>63</v>
      </c>
      <c r="G72" s="26" t="s">
        <v>162</v>
      </c>
      <c r="H72" s="14" t="s">
        <v>180</v>
      </c>
    </row>
    <row r="73" spans="1:8" x14ac:dyDescent="0.2">
      <c r="A73" s="8" t="s">
        <v>147</v>
      </c>
      <c r="B73" s="15" t="s">
        <v>113</v>
      </c>
      <c r="C73" s="44" cm="1">
        <f t="array" ref="C73">SUMPRODUCT(--ISNUMBER(SEARCH({"tie in","tie-in","failure to check","water knot","figure eight","figure-eight","knot parted"},#REF!)))</f>
        <v>0</v>
      </c>
      <c r="D73" s="44" cm="1">
        <f t="array" ref="D73">SUMPRODUCT(--ISNUMBER(SEARCH({"tied incorrectly","rope incorrectly","didn't tie in","didn't finish ty","did not finish ty","did not tie in","failed to tie in","ropes parted","knot parted","forgot to tie","untied","came undone","knot came loose"},#REF!)))</f>
        <v>0</v>
      </c>
      <c r="E73" s="16"/>
      <c r="F73" s="16" t="s">
        <v>63</v>
      </c>
      <c r="G73" s="26" t="s">
        <v>166</v>
      </c>
      <c r="H73" s="14" t="s">
        <v>180</v>
      </c>
    </row>
    <row r="74" spans="1:8" x14ac:dyDescent="0.2">
      <c r="A74" s="8" t="s">
        <v>147</v>
      </c>
      <c r="B74" s="15" t="s">
        <v>114</v>
      </c>
      <c r="C74" s="44" cm="1">
        <f t="array" ref="C74">SUMPRODUCT(--ISNUMBER(SEARCH({"backup","end knot","no back up","end-knot","endknot","third hand","second hand","prusik","stopper knot"},#REF!)))</f>
        <v>0</v>
      </c>
      <c r="D74" s="44" cm="1">
        <f t="array" ref="D74">SUMPRODUCT(--ISNUMBER(SEARCH({"backup","end knot","no back up","end-knot","endknot","third hand","prusik","rope-end","rope end","end of the rope","ran out of rope","through the belay device","hands free","hands-free","no prusik","no backup","no back-up"},#REF!)))</f>
        <v>0</v>
      </c>
      <c r="E74" s="16"/>
      <c r="F74" s="16" t="s">
        <v>63</v>
      </c>
      <c r="G74" s="26" t="s">
        <v>168</v>
      </c>
      <c r="H74" s="14" t="s">
        <v>180</v>
      </c>
    </row>
    <row r="75" spans="1:8" x14ac:dyDescent="0.2">
      <c r="A75" s="8" t="s">
        <v>146</v>
      </c>
      <c r="B75" s="15" t="s">
        <v>115</v>
      </c>
      <c r="C75" s="44" cm="1">
        <f t="array" ref="C75">SUMPRODUCT(--ISNUMBER(SEARCH({"rope cut","rope severed","rope likely cut","chopped rope","broke","bolt pulled","gear malfunction","ascender","device","equipment failure","worn harness","loop broke","sling","old gear","old piton","old piece","worn through"},#REF!)))</f>
        <v>0</v>
      </c>
      <c r="D75" s="44" cm="1">
        <f t="array" ref="D75">SUMPRODUCT(--ISNUMBER(SEARCH({"rope cut","rope severed","rope cut","broke","gear malfunction","weathered","faded","ancient","deteriorated","rusted","ascender broke","device broke","equipment failure","worn harness","worn through","strap broke","loop broke","sling blew","old gear","old piton","tore","ripped","by a previous climber","manufacturer"},#REF!)))</f>
        <v>0</v>
      </c>
      <c r="E75" s="16"/>
      <c r="F75" s="16" t="s">
        <v>63</v>
      </c>
      <c r="G75" s="26" t="s">
        <v>167</v>
      </c>
      <c r="H75" s="14" t="s">
        <v>180</v>
      </c>
    </row>
    <row r="76" spans="1:8" x14ac:dyDescent="0.2">
      <c r="A76" s="8" t="s">
        <v>146</v>
      </c>
      <c r="B76" s="15" t="s">
        <v>177</v>
      </c>
      <c r="C76" s="44"/>
      <c r="D76" s="44" cm="1">
        <f t="array" ref="D76">SUMPRODUCT(--ISNUMBER(SEARCH({"alcohol","drug","imbibe","under the influence","intoxicat","drunk","liquor","beer","marijuana","sobriety","hangover"},E10)))</f>
        <v>0</v>
      </c>
      <c r="E76" s="16"/>
      <c r="F76" s="16"/>
      <c r="G76" s="26" t="s">
        <v>178</v>
      </c>
      <c r="H76" s="14" t="s">
        <v>180</v>
      </c>
    </row>
    <row r="77" spans="1:8" x14ac:dyDescent="0.2">
      <c r="A77" s="8" t="s">
        <v>146</v>
      </c>
      <c r="B77" s="15" t="s">
        <v>116</v>
      </c>
      <c r="C77" s="44" cm="1">
        <f t="array" ref="C77">SUMPRODUCT(--ISNUMBER(SEARCH({"inadequate equipment","inadequate fuel","no radio","no phone"},#REF!)))</f>
        <v>0</v>
      </c>
      <c r="D77" s="44">
        <f>SUMPRODUCT(--ISNUMBER(SEARCH({"without crampon","no crampon","did not have","no rope","didn't have","inadequate equipment","inadequate fuel","no radio","no phone"},#REF!)))</f>
        <v>0</v>
      </c>
      <c r="E77" s="16"/>
      <c r="F77" s="16" t="s">
        <v>63</v>
      </c>
      <c r="G77" s="26" t="s">
        <v>117</v>
      </c>
      <c r="H77" s="14" t="s">
        <v>180</v>
      </c>
    </row>
    <row r="78" spans="1:8" x14ac:dyDescent="0.2">
      <c r="A78" s="8" t="s">
        <v>146</v>
      </c>
      <c r="B78" s="15" t="s">
        <v>118</v>
      </c>
      <c r="C78" s="44" cm="1">
        <f t="array" ref="C78">SUMPRODUCT(--ISNUMBER(SEARCH({"protection","cams pulled","nut","chock","piton","gear pulled","camming"},#REF!)))</f>
        <v>0</v>
      </c>
      <c r="D78" s="44" cm="1">
        <f t="array" ref="D78">SUMPRODUCT(--ISNUMBER(SEARCH({"zippered","cams pulled","placement blew","gear pulled","cam blew","nut pulled","piton pulled"},#REF!)))</f>
        <v>0</v>
      </c>
      <c r="E78" s="16"/>
      <c r="F78" s="16" t="s">
        <v>63</v>
      </c>
      <c r="G78" s="26" t="s">
        <v>169</v>
      </c>
      <c r="H78" s="14" t="s">
        <v>180</v>
      </c>
    </row>
    <row r="79" spans="1:8" x14ac:dyDescent="0.2">
      <c r="A79" s="8" t="s">
        <v>147</v>
      </c>
      <c r="B79" s="15" t="s">
        <v>119</v>
      </c>
      <c r="C79" s="44" cm="1">
        <f t="array" ref="C79">SUMPRODUCT(--ISNUMBER(SEARCH({"anchor"},#REF!)))</f>
        <v>0</v>
      </c>
      <c r="D79" s="44" cm="1">
        <f t="array" ref="D79">SUMPRODUCT(--ISNUMBER(SEARCH({"anchor chop","anchor fail","anchor err","not anch","inadequate anchor","anchor came loose"},#REF!)))</f>
        <v>0</v>
      </c>
      <c r="E79" s="16"/>
      <c r="F79" s="16" t="s">
        <v>63</v>
      </c>
      <c r="G79" s="26" t="s">
        <v>170</v>
      </c>
      <c r="H79" s="14" t="s">
        <v>180</v>
      </c>
    </row>
    <row r="80" spans="1:8" x14ac:dyDescent="0.2">
      <c r="A80" s="8" t="s">
        <v>150</v>
      </c>
      <c r="B80" s="15" t="s">
        <v>120</v>
      </c>
      <c r="C80" s="44" cm="1">
        <f t="array" ref="C80">SUMPRODUCT(--ISNUMBER(SEARCH({"stranded","alone","abandoned","lost","overdue"},#REF!)))</f>
        <v>0</v>
      </c>
      <c r="D80" s="44" cm="1">
        <f t="array" ref="D80">SUMPRODUCT(--ISNUMBER(SEARCH({"stranded","alone","abandoned","overdue","lost"},G81)))</f>
        <v>0</v>
      </c>
      <c r="E80" s="16"/>
      <c r="F80" s="16" t="s">
        <v>63</v>
      </c>
      <c r="G80" s="26" t="s">
        <v>171</v>
      </c>
      <c r="H80" s="14" t="s">
        <v>180</v>
      </c>
    </row>
    <row r="81" spans="1:8" ht="16" customHeight="1" x14ac:dyDescent="0.2">
      <c r="A81" s="8" t="s">
        <v>146</v>
      </c>
      <c r="B81" s="15" t="s">
        <v>121</v>
      </c>
      <c r="C81" s="44" cm="1">
        <f t="array" ref="C81">SUMPRODUCT(--ISNUMBER(SEARCH({" belayer","belayer dropped"," taken off belay","belay error"," inadequate belay","improper belay"," belay line"," slack in the","too much slack"," gri-gri"," grigri","gri gri"},#REF!)))</f>
        <v>0</v>
      </c>
      <c r="D81" s="44" cm="1">
        <f t="array" ref="D81">SUMPRODUCT(--ISNUMBER(SEARCH({" belayer","brake hand","belayer dropped"," taken off belay","belay error"," inadequate belay","  improper belay"," belay line"," slack in the","too much slack"," gri-gri"," grigri","gri gri","pulled into wall","pulled into the wall"},#REF!)))</f>
        <v>0</v>
      </c>
      <c r="E81" s="16"/>
      <c r="F81" s="16" t="s">
        <v>122</v>
      </c>
      <c r="G81" s="2" t="s">
        <v>123</v>
      </c>
      <c r="H81" s="14" t="s">
        <v>180</v>
      </c>
    </row>
    <row r="82" spans="1:8" ht="16" customHeight="1" x14ac:dyDescent="0.2">
      <c r="A82" s="8" t="s">
        <v>146</v>
      </c>
      <c r="B82" s="15" t="s">
        <v>124</v>
      </c>
      <c r="C82" s="44" cm="1">
        <f t="array" ref="C82">SUMPRODUCT(--ISNUMBER(SEARCH({"rappelled off","rappel error","failure to rappel","failure of rappel","attempted to rappel","rappel failure","rappel device","clipped only one"},#REF!)))</f>
        <v>0</v>
      </c>
      <c r="D82" s="44" cm="1">
        <f t="array" ref="D82">SUMPRODUCT(--ISNUMBER(SEARCH({"rappelled off","rappel error","rappel ropes parted","failure to rappel","attempted to rappel","rappel failure","rappel device","clipped only one"},#REF!)))</f>
        <v>0</v>
      </c>
      <c r="E82" s="16"/>
      <c r="F82" s="16" t="s">
        <v>122</v>
      </c>
      <c r="G82" s="26" t="s">
        <v>125</v>
      </c>
      <c r="H82" s="14" t="s">
        <v>180</v>
      </c>
    </row>
    <row r="83" spans="1:8" ht="16" customHeight="1" x14ac:dyDescent="0.2">
      <c r="A83" s="8" t="s">
        <v>172</v>
      </c>
      <c r="B83" s="15" t="s">
        <v>126</v>
      </c>
      <c r="C83" s="44" cm="1">
        <f t="array" ref="C83">SUMPRODUCT(--ISNUMBER(SEARCH({"lowering","lowered"},#REF!)))</f>
        <v>0</v>
      </c>
      <c r="D83" s="44">
        <f>SUMPRODUCT(--ISNUMBER(SEARCH({"lowering error","before lowering","lowering system","lowered with wrong rope","lowered with the wrong rope","while being lowered","was lowered","being lowered","began lowering"},#REF!)))</f>
        <v>0</v>
      </c>
      <c r="E83" s="16"/>
      <c r="F83" s="16" t="s">
        <v>127</v>
      </c>
      <c r="G83" s="2" t="s">
        <v>173</v>
      </c>
      <c r="H83" s="14" t="s">
        <v>180</v>
      </c>
    </row>
    <row r="84" spans="1:8" x14ac:dyDescent="0.2">
      <c r="A84" s="8" t="s">
        <v>147</v>
      </c>
      <c r="B84" s="15" t="s">
        <v>128</v>
      </c>
      <c r="C84" s="44" cm="1">
        <f t="array" ref="C84">SUMPRODUCT(--ISNUMBER(SEARCH({"communication","miscommunication","mis-communication","couldn't hear","miscomm","failure to comm","communica"},D10)))</f>
        <v>0</v>
      </c>
      <c r="D84" s="44" cm="1">
        <f t="array" ref="D84">SUMPRODUCT(--ISNUMBER(SEARCH({"miscomm","did not comm","didn't comm","inadequate comm","communication problem","communication barrier","poor comm","didn't full comm","communicate clearly"},G10)))</f>
        <v>0</v>
      </c>
      <c r="E84" s="16"/>
      <c r="F84" s="16" t="s">
        <v>63</v>
      </c>
      <c r="G84" s="26" t="s">
        <v>174</v>
      </c>
      <c r="H84" s="14" t="s">
        <v>180</v>
      </c>
    </row>
    <row r="85" spans="1:8" ht="17" thickBot="1" x14ac:dyDescent="0.25">
      <c r="A85" s="9" t="s">
        <v>147</v>
      </c>
      <c r="B85" s="17" t="s">
        <v>129</v>
      </c>
      <c r="C85" s="45" cm="1">
        <f t="array" ref="C85">SUMPRODUCT(--ISNUMBER(SEARCH({"pendulum"},#REF!)))</f>
        <v>0</v>
      </c>
      <c r="D85" s="45" cm="1">
        <f t="array" ref="D85">SUMPRODUCT(--ISNUMBER(SEARCH({"pendulum"},#REF!)))</f>
        <v>0</v>
      </c>
      <c r="E85" s="18"/>
      <c r="F85" s="18" t="s">
        <v>63</v>
      </c>
      <c r="G85" s="28" t="s">
        <v>175</v>
      </c>
      <c r="H85" s="14" t="s">
        <v>180</v>
      </c>
    </row>
    <row r="86" spans="1:8" x14ac:dyDescent="0.2">
      <c r="A86" s="10"/>
      <c r="B86" s="63" t="s">
        <v>130</v>
      </c>
      <c r="C86" s="66"/>
      <c r="D86" s="66"/>
      <c r="E86" s="66"/>
      <c r="F86" s="66"/>
      <c r="G86" s="67"/>
      <c r="H86" s="14" t="s">
        <v>180</v>
      </c>
    </row>
    <row r="87" spans="1:8" x14ac:dyDescent="0.2">
      <c r="A87" s="8" t="s">
        <v>146</v>
      </c>
      <c r="B87" s="29" t="s">
        <v>131</v>
      </c>
      <c r="C87" s="48" t="b">
        <f>SUMPRODUCT(--ISNUMBER(SEARCH({"January"},#REF!)))&gt;0</f>
        <v>0</v>
      </c>
      <c r="D87" s="51"/>
      <c r="E87" s="30"/>
      <c r="F87" s="30" t="s">
        <v>42</v>
      </c>
      <c r="G87" s="31" t="s">
        <v>132</v>
      </c>
      <c r="H87" s="14" t="s">
        <v>180</v>
      </c>
    </row>
    <row r="88" spans="1:8" x14ac:dyDescent="0.2">
      <c r="A88" s="8" t="s">
        <v>146</v>
      </c>
      <c r="B88" s="29" t="s">
        <v>133</v>
      </c>
      <c r="C88" s="48" t="b">
        <f>SUMPRODUCT(--ISNUMBER(SEARCH({"February"},#REF!)))&gt;0</f>
        <v>0</v>
      </c>
      <c r="D88" s="51"/>
      <c r="E88" s="30"/>
      <c r="F88" s="30" t="s">
        <v>42</v>
      </c>
      <c r="G88" s="31"/>
      <c r="H88" s="14" t="s">
        <v>180</v>
      </c>
    </row>
    <row r="89" spans="1:8" x14ac:dyDescent="0.2">
      <c r="A89" s="8" t="s">
        <v>146</v>
      </c>
      <c r="B89" s="29" t="s">
        <v>134</v>
      </c>
      <c r="C89" s="48" t="b">
        <f>SUMPRODUCT(--ISNUMBER(SEARCH({"March 1","March 2","March 3","March 4","March 5","March 6","March 7","March 8","March 9","March 10","March 11","March 12","March 13","March 14","March 15","March 16","March 17","March 18","March 19","March 20","March 21","March 22","March 23","March 24","March 25","March 26","March 27","March 28","March 29","March 30","March 31"},#REF!)))&gt;0</f>
        <v>0</v>
      </c>
      <c r="D89" s="51"/>
      <c r="E89" s="30"/>
      <c r="F89" s="30" t="s">
        <v>42</v>
      </c>
      <c r="G89" s="51" t="s">
        <v>135</v>
      </c>
      <c r="H89" s="14" t="s">
        <v>180</v>
      </c>
    </row>
    <row r="90" spans="1:8" x14ac:dyDescent="0.2">
      <c r="A90" s="8" t="s">
        <v>146</v>
      </c>
      <c r="B90" s="29" t="s">
        <v>136</v>
      </c>
      <c r="C90" s="48" t="b">
        <f>SUMPRODUCT(--ISNUMBER(SEARCH({"April"},#REF!)))&gt;0</f>
        <v>0</v>
      </c>
      <c r="D90" s="51"/>
      <c r="E90" s="30"/>
      <c r="F90" s="30" t="s">
        <v>42</v>
      </c>
      <c r="G90" s="31"/>
      <c r="H90" s="14" t="s">
        <v>180</v>
      </c>
    </row>
    <row r="91" spans="1:8" x14ac:dyDescent="0.2">
      <c r="A91" s="8" t="s">
        <v>146</v>
      </c>
      <c r="B91" s="29" t="s">
        <v>137</v>
      </c>
      <c r="C91" s="48" t="b">
        <f>SUMPRODUCT(--ISNUMBER(SEARCH({"May 1","May 2","May 3","May 4","May 5","May 6","May 7","May 8","May 9","May 10","May 11","May 12","May 13","May 14","May 15","May 16","May 17","May 18","May 19","May 20","May 21","May 22","May 23","May 24","May 25","May 26","May 27","May 28","May 29","May 30","May 31"},#REF!)))&gt;0</f>
        <v>0</v>
      </c>
      <c r="D91" s="51"/>
      <c r="E91" s="30"/>
      <c r="F91" s="30" t="s">
        <v>42</v>
      </c>
      <c r="G91" s="51" t="s">
        <v>135</v>
      </c>
      <c r="H91" s="14" t="s">
        <v>180</v>
      </c>
    </row>
    <row r="92" spans="1:8" x14ac:dyDescent="0.2">
      <c r="A92" s="8" t="s">
        <v>146</v>
      </c>
      <c r="B92" s="29" t="s">
        <v>138</v>
      </c>
      <c r="C92" s="48" t="b">
        <f>SUMPRODUCT(--ISNUMBER(SEARCH({"June"},#REF!)))&gt;0</f>
        <v>0</v>
      </c>
      <c r="D92" s="51"/>
      <c r="E92" s="30"/>
      <c r="F92" s="30" t="s">
        <v>42</v>
      </c>
      <c r="G92" s="31"/>
      <c r="H92" s="14" t="s">
        <v>180</v>
      </c>
    </row>
    <row r="93" spans="1:8" x14ac:dyDescent="0.2">
      <c r="A93" s="8" t="s">
        <v>146</v>
      </c>
      <c r="B93" s="29" t="s">
        <v>139</v>
      </c>
      <c r="C93" s="48" t="b">
        <f>SUMPRODUCT(--ISNUMBER(SEARCH({"July"},#REF!)))&gt;0</f>
        <v>0</v>
      </c>
      <c r="D93" s="51"/>
      <c r="E93" s="30"/>
      <c r="F93" s="30" t="s">
        <v>42</v>
      </c>
      <c r="G93" s="31"/>
      <c r="H93" s="14" t="s">
        <v>180</v>
      </c>
    </row>
    <row r="94" spans="1:8" x14ac:dyDescent="0.2">
      <c r="A94" s="8" t="s">
        <v>146</v>
      </c>
      <c r="B94" s="29" t="s">
        <v>140</v>
      </c>
      <c r="C94" s="48" t="b">
        <f>SUMPRODUCT(--ISNUMBER(SEARCH({"August"},#REF!)))&gt;0</f>
        <v>0</v>
      </c>
      <c r="D94" s="51"/>
      <c r="E94" s="30"/>
      <c r="F94" s="30" t="s">
        <v>42</v>
      </c>
      <c r="G94" s="31"/>
      <c r="H94" s="14" t="s">
        <v>180</v>
      </c>
    </row>
    <row r="95" spans="1:8" x14ac:dyDescent="0.2">
      <c r="A95" s="8" t="s">
        <v>146</v>
      </c>
      <c r="B95" s="29" t="s">
        <v>141</v>
      </c>
      <c r="C95" s="48" t="b">
        <f>SUMPRODUCT(--ISNUMBER(SEARCH({"September"},#REF!)))&gt;0</f>
        <v>0</v>
      </c>
      <c r="D95" s="51"/>
      <c r="E95" s="30"/>
      <c r="F95" s="30" t="s">
        <v>42</v>
      </c>
      <c r="G95" s="31"/>
      <c r="H95" s="14" t="s">
        <v>180</v>
      </c>
    </row>
    <row r="96" spans="1:8" x14ac:dyDescent="0.2">
      <c r="A96" s="8" t="s">
        <v>146</v>
      </c>
      <c r="B96" s="29" t="s">
        <v>142</v>
      </c>
      <c r="C96" s="48" t="b">
        <f>SUMPRODUCT(--ISNUMBER(SEARCH({"October"},#REF!)))&gt;0</f>
        <v>0</v>
      </c>
      <c r="D96" s="51"/>
      <c r="E96" s="30"/>
      <c r="F96" s="30" t="s">
        <v>42</v>
      </c>
      <c r="G96" s="31"/>
      <c r="H96" s="14" t="s">
        <v>180</v>
      </c>
    </row>
    <row r="97" spans="1:8" x14ac:dyDescent="0.2">
      <c r="A97" s="8" t="s">
        <v>146</v>
      </c>
      <c r="B97" s="29" t="s">
        <v>143</v>
      </c>
      <c r="C97" s="48" t="b">
        <f>SUMPRODUCT(--ISNUMBER(SEARCH({"November"},#REF!)))&gt;0</f>
        <v>0</v>
      </c>
      <c r="D97" s="51"/>
      <c r="E97" s="30"/>
      <c r="F97" s="30" t="s">
        <v>42</v>
      </c>
      <c r="G97" s="31"/>
      <c r="H97" s="14" t="s">
        <v>180</v>
      </c>
    </row>
    <row r="98" spans="1:8" ht="17" thickBot="1" x14ac:dyDescent="0.25">
      <c r="A98" s="9" t="s">
        <v>146</v>
      </c>
      <c r="B98" s="43" t="s">
        <v>144</v>
      </c>
      <c r="C98" s="49" t="b">
        <f>SUMPRODUCT(--ISNUMBER(SEARCH({"December"},#REF!)))&gt;0</f>
        <v>0</v>
      </c>
      <c r="D98" s="52"/>
      <c r="E98" s="34"/>
      <c r="F98" s="34" t="s">
        <v>42</v>
      </c>
      <c r="G98" s="35"/>
      <c r="H98" s="14" t="s">
        <v>180</v>
      </c>
    </row>
    <row r="99" spans="1:8" x14ac:dyDescent="0.2">
      <c r="A99" s="5"/>
      <c r="B99" s="3"/>
      <c r="C99" s="3"/>
      <c r="D99" s="3"/>
      <c r="E99" s="3"/>
      <c r="F99" s="3"/>
      <c r="G99" s="3"/>
    </row>
  </sheetData>
  <mergeCells count="9">
    <mergeCell ref="B46:G46"/>
    <mergeCell ref="B54:G54"/>
    <mergeCell ref="B86:G86"/>
    <mergeCell ref="B2:G2"/>
    <mergeCell ref="B10:G10"/>
    <mergeCell ref="B15:G15"/>
    <mergeCell ref="B20:G20"/>
    <mergeCell ref="B34:G34"/>
    <mergeCell ref="B41:G41"/>
  </mergeCells>
  <conditionalFormatting sqref="A1:A1048576">
    <cfRule type="containsText" dxfId="0" priority="1" operator="containsText" text="Y">
      <formula>NOT(ISERROR(SEARCH("Y",A1)))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definitions+dictionaries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2020-05-03T06:04:26Z</dcterms:created>
  <dcterms:modified xsi:type="dcterms:W3CDTF">2020-05-27T15:02:54Z</dcterms:modified>
</cp:coreProperties>
</file>