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hawkiit-my.sharepoint.com/personal/vlandeir_hawk_iit_edu/Documents/"/>
    </mc:Choice>
  </mc:AlternateContent>
  <bookViews>
    <workbookView xWindow="0" yWindow="0" windowWidth="14390" windowHeight="4440" firstSheet="1" activeTab="1"/>
  </bookViews>
  <sheets>
    <sheet name="HPX" sheetId="3" r:id="rId1"/>
    <sheet name="Charm++" sheetId="1" r:id="rId2"/>
    <sheet name="Legion" sheetId="2" r:id="rId3"/>
    <sheet name="Matrix" sheetId="9" r:id="rId4"/>
    <sheet name="Sparrow" sheetId="10" r:id="rId5"/>
    <sheet name="Swift" sheetId="6" r:id="rId6"/>
    <sheet name="Workloads" sheetId="11" r:id="rId7"/>
    <sheet name="Heterogeneous Workload" sheetId="8" r:id="rId8"/>
  </sheets>
  <definedNames>
    <definedName name="_xlnm._FilterDatabase" localSheetId="5" hidden="1">Swift!$A$2:$N$33</definedName>
    <definedName name="heterogeneous_wl_3min." localSheetId="7">'Heterogeneous Workload'!$A$1:$A$180</definedName>
    <definedName name="results_benchmark_heterogeneous." localSheetId="5">Swift!$A$36:$G$44</definedName>
  </definedNames>
  <calcPr calcId="162912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" i="2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8" i="6"/>
  <c r="I3" i="10"/>
  <c r="I4" i="10"/>
  <c r="I5" i="10"/>
  <c r="I6" i="10"/>
  <c r="E7" i="10"/>
  <c r="I7" i="10"/>
  <c r="C8" i="10"/>
  <c r="I8" i="10"/>
  <c r="C9" i="10"/>
  <c r="I9" i="10"/>
  <c r="I10" i="10"/>
  <c r="I11" i="10"/>
  <c r="I12" i="10"/>
  <c r="C13" i="10"/>
  <c r="I13" i="10"/>
  <c r="C14" i="10"/>
  <c r="I14" i="10"/>
  <c r="I15" i="10"/>
  <c r="I16" i="10"/>
  <c r="I17" i="10"/>
  <c r="C18" i="10"/>
  <c r="I18" i="10"/>
  <c r="C19" i="10"/>
  <c r="I19" i="10"/>
  <c r="I20" i="10"/>
  <c r="E3" i="9"/>
  <c r="I3" i="9"/>
  <c r="E4" i="9"/>
  <c r="I4" i="9"/>
  <c r="E5" i="9"/>
  <c r="I5" i="9"/>
  <c r="E6" i="9"/>
  <c r="I6" i="9"/>
  <c r="E7" i="9"/>
  <c r="I7" i="9"/>
  <c r="E8" i="9"/>
  <c r="I8" i="9"/>
  <c r="E9" i="9"/>
  <c r="I9" i="9"/>
  <c r="E10" i="9"/>
  <c r="I10" i="9"/>
  <c r="E11" i="9"/>
  <c r="I11" i="9"/>
  <c r="E12" i="9"/>
  <c r="I12" i="9"/>
  <c r="E13" i="9"/>
  <c r="I13" i="9"/>
  <c r="E14" i="9"/>
  <c r="I14" i="9"/>
  <c r="E15" i="9"/>
  <c r="I15" i="9"/>
  <c r="E16" i="9"/>
  <c r="I16" i="9"/>
  <c r="E17" i="9"/>
  <c r="I17" i="9"/>
  <c r="E18" i="9"/>
  <c r="I18" i="9"/>
  <c r="E19" i="9"/>
  <c r="I19" i="9"/>
  <c r="E20" i="9"/>
  <c r="I20" i="9"/>
  <c r="E21" i="9"/>
  <c r="I21" i="9"/>
  <c r="E22" i="9"/>
  <c r="I22" i="9"/>
  <c r="E23" i="9"/>
  <c r="I23" i="9"/>
  <c r="E24" i="9"/>
  <c r="I24" i="9"/>
  <c r="E25" i="9"/>
  <c r="I25" i="9"/>
  <c r="E26" i="9"/>
  <c r="I26" i="9"/>
  <c r="E27" i="9"/>
  <c r="I27" i="9"/>
  <c r="E28" i="9"/>
  <c r="I28" i="9"/>
  <c r="E29" i="9"/>
  <c r="I29" i="9"/>
  <c r="E30" i="9"/>
  <c r="I30" i="9"/>
  <c r="E31" i="9"/>
  <c r="I31" i="9"/>
  <c r="E32" i="9"/>
  <c r="I32" i="9"/>
  <c r="E33" i="9"/>
  <c r="I33" i="9"/>
  <c r="E34" i="9"/>
  <c r="I34" i="9"/>
  <c r="E35" i="9"/>
  <c r="I35" i="9"/>
  <c r="E36" i="9"/>
  <c r="I36" i="9"/>
  <c r="E37" i="9"/>
  <c r="I37" i="9"/>
  <c r="E38" i="9"/>
  <c r="I38" i="9"/>
  <c r="E39" i="9"/>
  <c r="I39" i="9"/>
  <c r="E40" i="9"/>
  <c r="I40" i="9"/>
  <c r="E41" i="9"/>
  <c r="I41" i="9"/>
  <c r="E42" i="9"/>
  <c r="I42" i="9"/>
  <c r="C23" i="10"/>
  <c r="I23" i="10"/>
  <c r="C24" i="10"/>
  <c r="I24" i="10"/>
  <c r="I25" i="10"/>
  <c r="C28" i="10"/>
  <c r="I28" i="10"/>
  <c r="I29" i="10"/>
  <c r="I30" i="10"/>
  <c r="C33" i="10"/>
  <c r="I33" i="10"/>
  <c r="I34" i="10"/>
  <c r="C40" i="10"/>
  <c r="C39" i="10"/>
  <c r="C27" i="10"/>
  <c r="C32" i="10"/>
  <c r="C37" i="10"/>
  <c r="C42" i="10"/>
  <c r="C26" i="10"/>
  <c r="C31" i="10"/>
  <c r="C36" i="10"/>
  <c r="C41" i="10"/>
  <c r="C38" i="10"/>
  <c r="F3" i="10"/>
  <c r="G3" i="10"/>
  <c r="H3" i="10"/>
  <c r="F4" i="10"/>
  <c r="G4" i="10"/>
  <c r="H4" i="10"/>
  <c r="F5" i="10"/>
  <c r="G5" i="10"/>
  <c r="H5" i="10"/>
  <c r="F6" i="10"/>
  <c r="G6" i="10"/>
  <c r="H6" i="10"/>
  <c r="F7" i="10"/>
  <c r="F8" i="10"/>
  <c r="F9" i="10"/>
  <c r="F10" i="10"/>
  <c r="G10" i="10"/>
  <c r="H10" i="10"/>
  <c r="F11" i="10"/>
  <c r="G11" i="10"/>
  <c r="H11" i="10"/>
  <c r="F12" i="10"/>
  <c r="H12" i="10"/>
  <c r="F15" i="10"/>
  <c r="G15" i="10"/>
  <c r="H15" i="10"/>
  <c r="F16" i="10"/>
  <c r="G16" i="10"/>
  <c r="H16" i="10"/>
  <c r="F17" i="10"/>
  <c r="H17" i="10"/>
  <c r="F20" i="10"/>
  <c r="G20" i="10"/>
  <c r="H20" i="10"/>
  <c r="F25" i="10"/>
  <c r="G25" i="10"/>
  <c r="H25" i="10"/>
  <c r="F29" i="10"/>
  <c r="G29" i="10"/>
  <c r="H29" i="10"/>
  <c r="F30" i="10"/>
  <c r="G30" i="10"/>
  <c r="H30" i="10"/>
  <c r="F34" i="10"/>
  <c r="G34" i="10"/>
  <c r="H34" i="10"/>
  <c r="F14" i="10"/>
  <c r="H19" i="10"/>
  <c r="H14" i="10"/>
  <c r="H9" i="10"/>
  <c r="H8" i="10"/>
  <c r="H7" i="10"/>
  <c r="G19" i="10"/>
  <c r="G14" i="10"/>
  <c r="G9" i="10"/>
  <c r="G8" i="10"/>
  <c r="F19" i="10"/>
  <c r="F24" i="10"/>
  <c r="G24" i="10"/>
  <c r="H24" i="10"/>
  <c r="F13" i="10"/>
  <c r="G13" i="10"/>
  <c r="H13" i="10"/>
  <c r="F18" i="10"/>
  <c r="G18" i="10"/>
  <c r="H18" i="10"/>
  <c r="H23" i="10"/>
  <c r="F23" i="10"/>
  <c r="G23" i="10"/>
  <c r="H28" i="10"/>
  <c r="G28" i="10"/>
  <c r="F28" i="10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3" i="9"/>
  <c r="H33" i="10"/>
  <c r="G33" i="10"/>
  <c r="F33" i="10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3" i="1"/>
  <c r="J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G3" i="2"/>
  <c r="G4" i="2"/>
  <c r="G5" i="2"/>
  <c r="G6" i="2"/>
  <c r="G8" i="2"/>
  <c r="G9" i="2"/>
  <c r="G10" i="2"/>
  <c r="G11" i="2"/>
  <c r="G13" i="2"/>
  <c r="G14" i="2"/>
  <c r="G15" i="2"/>
  <c r="G16" i="2"/>
  <c r="G18" i="2"/>
  <c r="G19" i="2"/>
  <c r="G20" i="2"/>
  <c r="G21" i="2"/>
  <c r="G23" i="2"/>
  <c r="G24" i="2"/>
  <c r="G25" i="2"/>
  <c r="G26" i="2"/>
  <c r="G28" i="2"/>
  <c r="G29" i="2"/>
  <c r="G30" i="2"/>
  <c r="G3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I41" i="2"/>
  <c r="I40" i="2"/>
  <c r="I39" i="2"/>
  <c r="I38" i="2"/>
  <c r="I36" i="2"/>
  <c r="I35" i="2"/>
  <c r="I34" i="2"/>
  <c r="I33" i="2"/>
  <c r="I31" i="2"/>
  <c r="I30" i="2"/>
  <c r="I29" i="2"/>
  <c r="I28" i="2"/>
  <c r="I26" i="2"/>
  <c r="I25" i="2"/>
  <c r="I24" i="2"/>
  <c r="I23" i="2"/>
  <c r="I21" i="2"/>
  <c r="I20" i="2"/>
  <c r="I19" i="2"/>
  <c r="I18" i="2"/>
  <c r="I16" i="2"/>
  <c r="I15" i="2"/>
  <c r="I14" i="2"/>
  <c r="I13" i="2"/>
  <c r="I11" i="2"/>
  <c r="I10" i="2"/>
  <c r="I9" i="2"/>
  <c r="I8" i="2"/>
  <c r="I6" i="2"/>
  <c r="I5" i="2"/>
  <c r="I4" i="2"/>
  <c r="I3" i="2"/>
  <c r="I8" i="1"/>
  <c r="I9" i="1"/>
  <c r="I10" i="1"/>
  <c r="I11" i="1"/>
  <c r="I13" i="1"/>
  <c r="I14" i="1"/>
  <c r="I15" i="1"/>
  <c r="I16" i="1"/>
  <c r="I18" i="1"/>
  <c r="I19" i="1"/>
  <c r="I20" i="1"/>
  <c r="I21" i="1"/>
  <c r="I23" i="1"/>
  <c r="I24" i="1"/>
  <c r="I25" i="1"/>
  <c r="I26" i="1"/>
  <c r="I28" i="1"/>
  <c r="I29" i="1"/>
  <c r="I30" i="1"/>
  <c r="I31" i="1"/>
  <c r="I33" i="1"/>
  <c r="I34" i="1"/>
  <c r="I35" i="1"/>
  <c r="I36" i="1"/>
  <c r="I38" i="1"/>
  <c r="I39" i="1"/>
  <c r="I40" i="1"/>
  <c r="I41" i="1"/>
  <c r="I4" i="1"/>
  <c r="I5" i="1"/>
  <c r="I6" i="1"/>
  <c r="I3" i="1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8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G39" i="1"/>
  <c r="G40" i="1"/>
  <c r="G41" i="1"/>
  <c r="G38" i="1"/>
  <c r="G34" i="1"/>
  <c r="G35" i="1"/>
  <c r="G36" i="1"/>
  <c r="G33" i="1"/>
  <c r="G29" i="1"/>
  <c r="G30" i="1"/>
  <c r="G31" i="1"/>
  <c r="G28" i="1"/>
  <c r="G24" i="1"/>
  <c r="G25" i="1"/>
  <c r="G26" i="1"/>
  <c r="G23" i="1"/>
  <c r="G19" i="1"/>
  <c r="G20" i="1"/>
  <c r="G21" i="1"/>
  <c r="G18" i="1"/>
  <c r="G14" i="1"/>
  <c r="G15" i="1"/>
  <c r="G16" i="1"/>
  <c r="G13" i="1"/>
  <c r="G9" i="1"/>
  <c r="G10" i="1"/>
  <c r="G11" i="1"/>
  <c r="G8" i="1"/>
  <c r="G3" i="1"/>
  <c r="G4" i="1"/>
  <c r="G5" i="1"/>
  <c r="G6" i="1"/>
  <c r="H38" i="6"/>
  <c r="J38" i="6"/>
  <c r="H39" i="6"/>
  <c r="J39" i="6"/>
  <c r="H40" i="6"/>
  <c r="J40" i="6"/>
  <c r="H41" i="6"/>
  <c r="J41" i="6"/>
  <c r="H42" i="6"/>
  <c r="J42" i="6"/>
  <c r="H43" i="6"/>
  <c r="I43" i="6"/>
  <c r="H44" i="6"/>
  <c r="J44" i="6"/>
  <c r="H37" i="6"/>
  <c r="J37" i="6"/>
  <c r="J25" i="6"/>
  <c r="K25" i="6"/>
  <c r="J18" i="6"/>
  <c r="K18" i="6"/>
  <c r="I25" i="6"/>
  <c r="I18" i="6"/>
  <c r="I33" i="6"/>
  <c r="J33" i="6"/>
  <c r="K33" i="6"/>
  <c r="J32" i="6"/>
  <c r="I32" i="6"/>
  <c r="I44" i="6"/>
  <c r="J43" i="6"/>
  <c r="I42" i="6"/>
  <c r="I38" i="6"/>
  <c r="I39" i="6"/>
  <c r="I37" i="6"/>
  <c r="I41" i="6"/>
  <c r="I40" i="6"/>
  <c r="K32" i="6"/>
  <c r="L4" i="6"/>
  <c r="L5" i="6"/>
  <c r="L6" i="6"/>
  <c r="L7" i="6"/>
  <c r="L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9" i="6"/>
  <c r="I20" i="6"/>
  <c r="I21" i="6"/>
  <c r="I22" i="6"/>
  <c r="I23" i="6"/>
  <c r="I24" i="6"/>
  <c r="I26" i="6"/>
  <c r="I27" i="6"/>
  <c r="I28" i="6"/>
  <c r="I29" i="6"/>
  <c r="I30" i="6"/>
  <c r="I31" i="6"/>
  <c r="I3" i="6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6" i="6"/>
  <c r="J27" i="6"/>
  <c r="J28" i="6"/>
  <c r="J29" i="6"/>
  <c r="J30" i="6"/>
  <c r="J31" i="6"/>
  <c r="J8" i="6"/>
  <c r="K28" i="6"/>
  <c r="K23" i="6"/>
  <c r="K19" i="6"/>
  <c r="K14" i="6"/>
  <c r="K10" i="6"/>
  <c r="K31" i="6"/>
  <c r="K27" i="6"/>
  <c r="K22" i="6"/>
  <c r="K17" i="6"/>
  <c r="K13" i="6"/>
  <c r="K9" i="6"/>
  <c r="K8" i="6"/>
  <c r="K30" i="6"/>
  <c r="K26" i="6"/>
  <c r="K21" i="6"/>
  <c r="K16" i="6"/>
  <c r="K12" i="6"/>
  <c r="K29" i="6"/>
  <c r="K24" i="6"/>
  <c r="K20" i="6"/>
  <c r="K15" i="6"/>
  <c r="K11" i="6"/>
  <c r="F10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<sst xmlns="http://schemas.openxmlformats.org/spreadsheetml/2006/main" count="73" uniqueCount="36">
  <si>
    <t>CHARM ++ BENCHMARK</t>
  </si>
  <si>
    <t>Nodes</t>
  </si>
  <si>
    <t>Task duration (ms)</t>
  </si>
  <si>
    <t>Number of Tasks</t>
  </si>
  <si>
    <t>Number of proc</t>
  </si>
  <si>
    <t>Total Time (s)</t>
  </si>
  <si>
    <t>Average per task (s)</t>
  </si>
  <si>
    <t>Efficiency</t>
  </si>
  <si>
    <t>Throughput (task/s)</t>
  </si>
  <si>
    <t>Ideal throughput</t>
  </si>
  <si>
    <t>Task Latency (ms)</t>
  </si>
  <si>
    <t>LEGION BENCHMARK</t>
  </si>
  <si>
    <t>Matrix BENCHMARK</t>
  </si>
  <si>
    <t>Sparrow BENCHMARK</t>
  </si>
  <si>
    <t>Total Time (ms)</t>
  </si>
  <si>
    <t>Average per task (ms)</t>
  </si>
  <si>
    <t>Homogeneous Workload</t>
  </si>
  <si>
    <t>Number of nodes</t>
  </si>
  <si>
    <t>Number of cores</t>
  </si>
  <si>
    <t>Number of ADLB servers</t>
  </si>
  <si>
    <t>Number of workers</t>
  </si>
  <si>
    <t>Number of tasks</t>
  </si>
  <si>
    <t>Task duration (s)</t>
  </si>
  <si>
    <t>Total time(s)</t>
  </si>
  <si>
    <t>Sum of individual times (s)</t>
  </si>
  <si>
    <t>Average time per task (ms)</t>
  </si>
  <si>
    <t>Theoretical time (ms)</t>
  </si>
  <si>
    <t>Throughput (tasks/s)</t>
  </si>
  <si>
    <t>Ideal Throughput</t>
  </si>
  <si>
    <t>Heterogeneous Workload</t>
  </si>
  <si>
    <t>Theoretical time (s)</t>
  </si>
  <si>
    <t>Systeme</t>
  </si>
  <si>
    <t>Per task duration (ms)</t>
  </si>
  <si>
    <t>Expected time (s)</t>
  </si>
  <si>
    <t>Swift/T</t>
  </si>
  <si>
    <t>Charm++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</si>
</sst>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2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3" fillId="9" borderId="2" xfId="0" applyFont="1" applyFill="1" applyBorder="1"/>
    <xf numFmtId="0" fontId="3" fillId="10" borderId="3" xfId="0" applyFont="1" applyFill="1" applyBorder="1"/>
    <xf numFmtId="0" fontId="3" fillId="8" borderId="2" xfId="0" applyFont="1" applyFill="1" applyBorder="1"/>
    <xf numFmtId="0" fontId="4" fillId="0" borderId="0" xfId="0" applyFont="1"/>
    <xf numFmtId="0" fontId="0" fillId="0" borderId="0" xfId="0" applyFill="1" applyBorder="1"/>
    <xf numFmtId="0" fontId="0" fillId="0" borderId="7" xfId="0" applyFill="1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Border="1"/>
    <xf numFmtId="0" fontId="1" fillId="0" borderId="7" xfId="0" applyFon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0" fontId="1" fillId="0" borderId="5" xfId="0" applyFont="1" applyBorder="1"/>
    <xf numFmtId="0" fontId="0" fillId="0" borderId="3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Charm ++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Sleep (1000)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('Charm++'!$H$3,'Charm++'!$H$8,'Charm++'!$H$13,'Charm++'!$H$18,'Charm++'!$H$23,'Charm++'!$H$28,'Charm++'!$H$33,'Charm++'!$H$38)</c:f>
              <c:numCache>
                <c:formatCode>General</c:formatCode>
                <c:ptCount val="8"/>
                <c:pt idx="0">
                  <c:v>0.99999207006288438</c:v>
                </c:pt>
                <c:pt idx="1">
                  <c:v>1.9999844601207448</c:v>
                </c:pt>
                <c:pt idx="2">
                  <c:v>3.9999642403196916</c:v>
                </c:pt>
                <c:pt idx="3">
                  <c:v>7.9998035248254311</c:v>
                </c:pt>
                <c:pt idx="4">
                  <c:v>15.999292831256859</c:v>
                </c:pt>
                <c:pt idx="5">
                  <c:v>31.998549825721899</c:v>
                </c:pt>
                <c:pt idx="6">
                  <c:v>63.996264538038915</c:v>
                </c:pt>
                <c:pt idx="7">
                  <c:v>127.98969043043583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0-4C31-BE5A-9F252A517F5D}"/>
            </c:ext>
          </c:extLst>
        </c:ser>
        <c:ser>
          <c:idx val="4"/>
          <c:order val="1"/>
          <c:tx>
            <c:v>Ideal (1000ms)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('Charm++'!$I$3,'Charm++'!$I$8,'Charm++'!$I$13,'Charm++'!$I$18,'Charm++'!$I$23,'Charm++'!$I$28,'Charm++'!$I$33,'Charm++'!$I$38)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0-4C31-BE5A-9F252A517F5D}"/>
            </c:ext>
          </c:extLst>
        </c:ser>
        <c:ser>
          <c:idx val="1"/>
          <c:order val="2"/>
          <c:tx>
            <c:v>Sleep(100)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('Charm++'!$H$4,'Charm++'!$H$9,'Charm++'!$H$14,'Charm++'!$H$19,'Charm++'!$H$24,'Charm++'!$H$29,'Charm++'!$H$34,'Charm++'!$H$39)</c:f>
              <c:numCache>
                <c:formatCode>General</c:formatCode>
                <c:ptCount val="8"/>
                <c:pt idx="0">
                  <c:v>9.9999227005975246</c:v>
                </c:pt>
                <c:pt idx="1">
                  <c:v>19.999836001344789</c:v>
                </c:pt>
                <c:pt idx="2">
                  <c:v>39.998378065769437</c:v>
                </c:pt>
                <c:pt idx="3">
                  <c:v>79.996701735987415</c:v>
                </c:pt>
                <c:pt idx="4">
                  <c:v>159.99098130838365</c:v>
                </c:pt>
                <c:pt idx="5">
                  <c:v>319.98076275654307</c:v>
                </c:pt>
                <c:pt idx="6">
                  <c:v>639.95192041221947</c:v>
                </c:pt>
                <c:pt idx="7">
                  <c:v>1279.8808047006582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0-4C31-BE5A-9F252A517F5D}"/>
            </c:ext>
          </c:extLst>
        </c:ser>
        <c:ser>
          <c:idx val="5"/>
          <c:order val="3"/>
          <c:tx>
            <c:v>Ideal(100ms)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('Charm++'!$I$4,'Charm++'!$I$9,'Charm++'!$I$14,'Charm++'!$I$19,'Charm++'!$I$24,'Charm++'!$I$29,'Charm++'!$I$34,'Charm++'!$I$39)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0-4C31-BE5A-9F252A517F5D}"/>
            </c:ext>
          </c:extLst>
        </c:ser>
        <c:ser>
          <c:idx val="2"/>
          <c:order val="4"/>
          <c:tx>
            <c:v>Sleep(10)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('Charm++'!$H$5,'Charm++'!$H$10,'Charm++'!$H$15,'Charm++'!$H$20,'Charm++'!$H$25,'Charm++'!$H$30,'Charm++'!$H$35,'Charm++'!$H$40)</c:f>
              <c:numCache>
                <c:formatCode>General</c:formatCode>
                <c:ptCount val="8"/>
                <c:pt idx="0">
                  <c:v>98.687597069120471</c:v>
                </c:pt>
                <c:pt idx="1">
                  <c:v>197.3546893210904</c:v>
                </c:pt>
                <c:pt idx="2">
                  <c:v>394.70824133835458</c:v>
                </c:pt>
                <c:pt idx="3">
                  <c:v>789.4161555081937</c:v>
                </c:pt>
                <c:pt idx="4">
                  <c:v>1578.4409277262876</c:v>
                </c:pt>
                <c:pt idx="5">
                  <c:v>3156.374049815513</c:v>
                </c:pt>
                <c:pt idx="6">
                  <c:v>6311.3555595542812</c:v>
                </c:pt>
                <c:pt idx="7">
                  <c:v>12607.232887700482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10-4C31-BE5A-9F252A517F5D}"/>
            </c:ext>
          </c:extLst>
        </c:ser>
        <c:ser>
          <c:idx val="6"/>
          <c:order val="5"/>
          <c:tx>
            <c:v>Ideal(10ms)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('Charm++'!$I$5,'Charm++'!$I$10,'Charm++'!$I$15,'Charm++'!$I$20,'Charm++'!$I$25,'Charm++'!$I$30,'Charm++'!$I$35,'Charm++'!$I$40)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10-4C31-BE5A-9F252A51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5222288"/>
        <c:axId val="-655219024"/>
        <c:extLst>
          <c:ext xmlns:c15="http://schemas.microsoft.com/office/drawing/2012/chart" uri="{02D57815-91ED-43cb-92C2-25804820EDAC}">
            <c15:filteredLineSeries>
              <c15:ser>
                <c:idx val="3"/>
                <c:order val="6"/>
                <c:tx>
                  <c:v>Sleep(1)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('Charm++'!$H$6,'Charm++'!$H$11,'Charm++'!$H$16,'Charm++'!$H$21,'Charm++'!$H$26,'Charm++'!$H$31,'Charm++'!$H$36,'Charm++'!$H$41)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1764.7745736079621</c:v>
                      </c:pt>
                      <c:pt idx="1">
                        <c:v>3449.9709874689806</c:v>
                      </c:pt>
                      <c:pt idx="2">
                        <c:v>6489.7482339488697</c:v>
                      </c:pt>
                      <c:pt idx="3">
                        <c:v>5941.2270500889035</c:v>
                      </c:pt>
                      <c:pt idx="4">
                        <c:v>19873.347405402215</c:v>
                      </c:pt>
                      <c:pt idx="5">
                        <c:v>31208.835424166013</c:v>
                      </c:pt>
                      <c:pt idx="6">
                        <c:v>44974.159780273687</c:v>
                      </c:pt>
                      <c:pt idx="7">
                        <c:v>59488.593847565076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F10-4C31-BE5A-9F252A517F5D}"/>
                  </c:ext>
                </c:extLst>
              </c15:ser>
            </c15:filteredLineSeries>
          </c:ext>
        </c:extLst>
      </c:lineChart>
      <c:catAx>
        <c:axId val="-6552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</a:t>
                </a:r>
                <a:r>
                  <a:rPr lang="fr-FR" baseline="0"/>
                  <a:t> nodes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219024"/>
        <c:crosses val="autoZero"/>
        <c:auto val="1"/>
        <c:lblAlgn val="ctr"/>
        <c:lblOffset val="100"/>
        <c:noMultiLvlLbl val="0"/>
      </c:catAx>
      <c:valAx>
        <c:axId val="-655219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Throughput (Task/s)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2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MATRIX Task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138810621102001"/>
          <c:y val="0.11915110356536503"/>
          <c:w val="0.63047845613209896"/>
          <c:h val="0.78507626699463928"/>
        </c:manualLayout>
      </c:layout>
      <c:lineChart>
        <c:grouping val="standard"/>
        <c:varyColors val="0"/>
        <c:ser>
          <c:idx val="0"/>
          <c:order val="0"/>
          <c:tx>
            <c:v>Sleep(1000)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cat>
            <c:numRef>
              <c:f>(Matrix!$A$3,Matrix!$A$8,Matrix!$A$13,Matrix!$A$18,Matrix!$A$23,Matrix!$A$28,Matrix!$A$33,Matrix!$A$38)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(Matrix!$G$3,Matrix!$G$8,Matrix!$G$13,Matrix!$G$18,Matrix!$G$23,Matrix!$G$28,Matrix!$G$33,Matrix!$G$38)</c:f>
              <c:numCache>
                <c:formatCode>General</c:formatCode>
                <c:ptCount val="8"/>
                <c:pt idx="0">
                  <c:v>0.95</c:v>
                </c:pt>
                <c:pt idx="1">
                  <c:v>0.9425</c:v>
                </c:pt>
                <c:pt idx="2">
                  <c:v>0.9425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0.9296875</c:v>
                </c:pt>
                <c:pt idx="7">
                  <c:v>0.9140625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5-47C5-902C-9D7486E13185}"/>
            </c:ext>
          </c:extLst>
        </c:ser>
        <c:ser>
          <c:idx val="1"/>
          <c:order val="1"/>
          <c:tx>
            <c:v>Sleep(100)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>
                <a:noFill/>
              </a:ln>
            </c:spPr>
          </c:marker>
          <c:cat>
            <c:numRef>
              <c:f>(Matrix!$A$3,Matrix!$A$8,Matrix!$A$13,Matrix!$A$18,Matrix!$A$23,Matrix!$A$28,Matrix!$A$33,Matrix!$A$38)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(Matrix!$G$4,Matrix!$G$9,Matrix!$G$14,Matrix!$G$19,Matrix!$G$24,Matrix!$G$29,Matrix!$G$34,Matrix!$G$39)</c:f>
              <c:numCache>
                <c:formatCode>General</c:formatCode>
                <c:ptCount val="8"/>
                <c:pt idx="0">
                  <c:v>0.82499999999999996</c:v>
                </c:pt>
                <c:pt idx="1">
                  <c:v>0.85</c:v>
                </c:pt>
                <c:pt idx="2">
                  <c:v>0.85</c:v>
                </c:pt>
                <c:pt idx="3">
                  <c:v>0.84375</c:v>
                </c:pt>
                <c:pt idx="4">
                  <c:v>0.84687500000000004</c:v>
                </c:pt>
                <c:pt idx="5">
                  <c:v>0.84531250000000002</c:v>
                </c:pt>
                <c:pt idx="6">
                  <c:v>0.83203125</c:v>
                </c:pt>
                <c:pt idx="7">
                  <c:v>0.12109375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5-47C5-902C-9D7486E13185}"/>
            </c:ext>
          </c:extLst>
        </c:ser>
        <c:ser>
          <c:idx val="2"/>
          <c:order val="2"/>
          <c:tx>
            <c:v>Sleep(10)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(Matrix!$A$3,Matrix!$A$8,Matrix!$A$13,Matrix!$A$18,Matrix!$A$23,Matrix!$A$28,Matrix!$A$33,Matrix!$A$38)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(Matrix!$G$5,Matrix!$G$10,Matrix!$G$15,Matrix!$G$20,Matrix!$G$25,Matrix!$G$30,Matrix!$G$35,Matrix!$G$40)</c:f>
              <c:numCache>
                <c:formatCode>General</c:formatCode>
                <c:ptCount val="8"/>
                <c:pt idx="0">
                  <c:v>0.33700000000000002</c:v>
                </c:pt>
                <c:pt idx="1">
                  <c:v>0.16750000000000001</c:v>
                </c:pt>
                <c:pt idx="2">
                  <c:v>0.26124999999999998</c:v>
                </c:pt>
                <c:pt idx="3">
                  <c:v>0.36249999999999999</c:v>
                </c:pt>
                <c:pt idx="4">
                  <c:v>0.3621875</c:v>
                </c:pt>
                <c:pt idx="5">
                  <c:v>0.35843750000000002</c:v>
                </c:pt>
                <c:pt idx="6">
                  <c:v>0.33250000000000002</c:v>
                </c:pt>
                <c:pt idx="7">
                  <c:v>4.1796874999999997E-2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5-47C5-902C-9D7486E13185}"/>
            </c:ext>
          </c:extLst>
        </c:ser>
        <c:ser>
          <c:idx val="3"/>
          <c:order val="3"/>
          <c:tx>
            <c:v>Sleep(1)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ln>
                <a:noFill/>
              </a:ln>
            </c:spPr>
          </c:marker>
          <c:cat>
            <c:numRef>
              <c:f>(Matrix!$A$3,Matrix!$A$8,Matrix!$A$13,Matrix!$A$18,Matrix!$A$23,Matrix!$A$28,Matrix!$A$33,Matrix!$A$38)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(Matrix!$G$6,Matrix!$G$11,Matrix!$G$16,Matrix!$G$21,Matrix!$G$26,Matrix!$G$31,Matrix!$G$36,Matrix!$G$41)</c:f>
              <c:numCache>
                <c:formatCode>General</c:formatCode>
                <c:ptCount val="8"/>
                <c:pt idx="0">
                  <c:v>4.725E-2</c:v>
                </c:pt>
                <c:pt idx="1">
                  <c:v>5.0999999999999997E-2</c:v>
                </c:pt>
                <c:pt idx="2">
                  <c:v>3.6249999999999998E-2</c:v>
                </c:pt>
                <c:pt idx="3">
                  <c:v>5.2124999999999998E-2</c:v>
                </c:pt>
                <c:pt idx="4">
                  <c:v>5.2124999999999998E-2</c:v>
                </c:pt>
                <c:pt idx="5">
                  <c:v>5.2078125000000003E-2</c:v>
                </c:pt>
                <c:pt idx="6">
                  <c:v>5.2648437499999999E-2</c:v>
                </c:pt>
                <c:pt idx="7">
                  <c:v>7.5429687500000002E-3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5-47C5-902C-9D7486E1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2013904"/>
        <c:axId val="-652020432"/>
      </c:lineChart>
      <c:catAx>
        <c:axId val="-6520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nodes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020432"/>
        <c:crosses val="autoZero"/>
        <c:auto val="1"/>
        <c:lblAlgn val="ctr"/>
        <c:lblOffset val="100"/>
        <c:noMultiLvlLbl val="0"/>
      </c:catAx>
      <c:valAx>
        <c:axId val="-6520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Task Latecy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013904"/>
        <c:crosses val="autoZero"/>
        <c:crossBetween val="between"/>
      </c:valAx>
      <c:spPr>
        <a:noFill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MATRIX Task Latency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138810621102001"/>
          <c:y val="0.11915110356536503"/>
          <c:w val="0.63047845613209896"/>
          <c:h val="0.78507626699463928"/>
        </c:manualLayout>
      </c:layout>
      <c:lineChart>
        <c:grouping val="standard"/>
        <c:varyColors val="0"/>
        <c:ser>
          <c:idx val="0"/>
          <c:order val="0"/>
          <c:tx>
            <c:v>Sleep(1000)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cat>
            <c:numRef>
              <c:f>(Matrix!$A$3,Matrix!$A$8,Matrix!$A$13,Matrix!$A$18,Matrix!$A$23,Matrix!$A$28,Matrix!$A$33,Matrix!$A$38)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(Matrix!$I$3,Matrix!$I$8,Matrix!$I$13,Matrix!$I$18,Matrix!$I$23,Matrix!$I$28,Matrix!$I$33,Matrix!$I$38)</c:f>
              <c:numCache>
                <c:formatCode>General</c:formatCode>
                <c:ptCount val="8"/>
                <c:pt idx="0">
                  <c:v>1052.6315789473686</c:v>
                </c:pt>
                <c:pt idx="1">
                  <c:v>1061.0079575596815</c:v>
                </c:pt>
                <c:pt idx="2">
                  <c:v>1061.0079575596815</c:v>
                </c:pt>
                <c:pt idx="3">
                  <c:v>1066.6666666666667</c:v>
                </c:pt>
                <c:pt idx="4">
                  <c:v>1066.6666666666667</c:v>
                </c:pt>
                <c:pt idx="5">
                  <c:v>1066.6666666666667</c:v>
                </c:pt>
                <c:pt idx="6">
                  <c:v>1075.6302521008404</c:v>
                </c:pt>
                <c:pt idx="7">
                  <c:v>1094.017094017094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2-4F9E-8C53-7CD4125FB7A9}"/>
            </c:ext>
          </c:extLst>
        </c:ser>
        <c:ser>
          <c:idx val="1"/>
          <c:order val="1"/>
          <c:tx>
            <c:v>Sleep(100)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>
                <a:noFill/>
              </a:ln>
            </c:spPr>
          </c:marker>
          <c:cat>
            <c:numRef>
              <c:f>(Matrix!$A$3,Matrix!$A$8,Matrix!$A$13,Matrix!$A$18,Matrix!$A$23,Matrix!$A$28,Matrix!$A$33,Matrix!$A$38)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(Matrix!$I$4,Matrix!$I$9,Matrix!$I$14,Matrix!$I$19,Matrix!$I$24,Matrix!$I$29,Matrix!$I$34,Matrix!$I$39)</c:f>
              <c:numCache>
                <c:formatCode>General</c:formatCode>
                <c:ptCount val="8"/>
                <c:pt idx="0">
                  <c:v>121.21212121212122</c:v>
                </c:pt>
                <c:pt idx="1">
                  <c:v>117.64705882352941</c:v>
                </c:pt>
                <c:pt idx="2">
                  <c:v>117.64705882352941</c:v>
                </c:pt>
                <c:pt idx="3">
                  <c:v>118.51851851851852</c:v>
                </c:pt>
                <c:pt idx="4">
                  <c:v>118.08118081180812</c:v>
                </c:pt>
                <c:pt idx="5">
                  <c:v>118.29944547134936</c:v>
                </c:pt>
                <c:pt idx="6">
                  <c:v>120.18779342723005</c:v>
                </c:pt>
                <c:pt idx="7">
                  <c:v>825.80645161290317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2-4F9E-8C53-7CD4125FB7A9}"/>
            </c:ext>
          </c:extLst>
        </c:ser>
        <c:ser>
          <c:idx val="2"/>
          <c:order val="2"/>
          <c:tx>
            <c:v>Sleep(10)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(Matrix!$A$3,Matrix!$A$8,Matrix!$A$13,Matrix!$A$18,Matrix!$A$23,Matrix!$A$28,Matrix!$A$33,Matrix!$A$38)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(Matrix!$I$5,Matrix!$I$10,Matrix!$I$15,Matrix!$I$20,Matrix!$I$25,Matrix!$I$30,Matrix!$I$35,Matrix!$I$40)</c:f>
              <c:numCache>
                <c:formatCode>General</c:formatCode>
                <c:ptCount val="8"/>
                <c:pt idx="0">
                  <c:v>29.673590504451038</c:v>
                </c:pt>
                <c:pt idx="1">
                  <c:v>59.701492537313435</c:v>
                </c:pt>
                <c:pt idx="2">
                  <c:v>38.277511961722489</c:v>
                </c:pt>
                <c:pt idx="3">
                  <c:v>27.586206896551722</c:v>
                </c:pt>
                <c:pt idx="4">
                  <c:v>27.610008628127698</c:v>
                </c:pt>
                <c:pt idx="5">
                  <c:v>27.898866608544029</c:v>
                </c:pt>
                <c:pt idx="6">
                  <c:v>30.075187969924812</c:v>
                </c:pt>
                <c:pt idx="7">
                  <c:v>239.2523364485981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2-4F9E-8C53-7CD4125FB7A9}"/>
            </c:ext>
          </c:extLst>
        </c:ser>
        <c:ser>
          <c:idx val="3"/>
          <c:order val="3"/>
          <c:tx>
            <c:v>Sleep(1)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ln>
                <a:noFill/>
              </a:ln>
            </c:spPr>
          </c:marker>
          <c:cat>
            <c:numRef>
              <c:f>(Matrix!$A$3,Matrix!$A$8,Matrix!$A$13,Matrix!$A$18,Matrix!$A$23,Matrix!$A$28,Matrix!$A$33,Matrix!$A$38)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(Matrix!$I$6,Matrix!$I$11,Matrix!$I$16,Matrix!$I$21,Matrix!$I$26,Matrix!$I$31,Matrix!$I$36,Matrix!$I$41)</c:f>
              <c:numCache>
                <c:formatCode>General</c:formatCode>
                <c:ptCount val="8"/>
                <c:pt idx="0">
                  <c:v>21.164021164021165</c:v>
                </c:pt>
                <c:pt idx="1">
                  <c:v>19.607843137254903</c:v>
                </c:pt>
                <c:pt idx="2">
                  <c:v>27.586206896551726</c:v>
                </c:pt>
                <c:pt idx="3">
                  <c:v>19.184652278177456</c:v>
                </c:pt>
                <c:pt idx="4">
                  <c:v>19.184652278177456</c:v>
                </c:pt>
                <c:pt idx="5">
                  <c:v>19.201920192019202</c:v>
                </c:pt>
                <c:pt idx="6">
                  <c:v>18.993916011277637</c:v>
                </c:pt>
                <c:pt idx="7">
                  <c:v>132.57379596064217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2-4F9E-8C53-7CD4125FB7A9}"/>
            </c:ext>
          </c:extLst>
        </c:ser>
        <c:ser>
          <c:idx val="4"/>
          <c:order val="4"/>
          <c:tx>
            <c:v>Sleep(0)</c:v>
          </c:tx>
          <c:spPr>
            <a:ln w="28575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noFill/>
              </a:ln>
            </c:spPr>
          </c:marker>
          <c:val>
            <c:numRef>
              <c:f>(Matrix!$I$7,Matrix!$I$12,Matrix!$I$17,Matrix!$I$22,Matrix!$I$27,Matrix!$I$32,Matrix!$I$37,Matrix!$I$42)</c:f>
              <c:numCache>
                <c:formatCode>General</c:formatCode>
                <c:ptCount val="8"/>
                <c:pt idx="0">
                  <c:v>20.449897750511248</c:v>
                </c:pt>
                <c:pt idx="1">
                  <c:v>18.604651162790699</c:v>
                </c:pt>
                <c:pt idx="2">
                  <c:v>18.475750577367204</c:v>
                </c:pt>
                <c:pt idx="3">
                  <c:v>18.669778296382731</c:v>
                </c:pt>
                <c:pt idx="4">
                  <c:v>18.583042973286876</c:v>
                </c:pt>
                <c:pt idx="5">
                  <c:v>18.561484918793504</c:v>
                </c:pt>
                <c:pt idx="6">
                  <c:v>18.367054096714018</c:v>
                </c:pt>
                <c:pt idx="7">
                  <c:v>127.553562531141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2-4F9E-8C53-7CD4125F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2017168"/>
        <c:axId val="-652015536"/>
      </c:lineChart>
      <c:catAx>
        <c:axId val="-65201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nodes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015536"/>
        <c:crosses val="autoZero"/>
        <c:auto val="1"/>
        <c:lblAlgn val="ctr"/>
        <c:lblOffset val="100"/>
        <c:noMultiLvlLbl val="0"/>
      </c:catAx>
      <c:valAx>
        <c:axId val="-65201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Task Latecy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017168"/>
        <c:crosses val="autoZero"/>
        <c:crossBetween val="between"/>
      </c:valAx>
      <c:spPr>
        <a:noFill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Sparrow Task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138810621102001"/>
          <c:y val="0.11915110356536503"/>
          <c:w val="0.63047845613209896"/>
          <c:h val="0.78507626699463928"/>
        </c:manualLayout>
      </c:layout>
      <c:lineChart>
        <c:grouping val="standard"/>
        <c:varyColors val="0"/>
        <c:ser>
          <c:idx val="0"/>
          <c:order val="0"/>
          <c:tx>
            <c:v>Sleep(1000)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(Sparrow!$A$3,Sparrow!$A$8,Sparrow!$A$13,Sparrow!$A$18,Sparrow!$A$23,Sparrow!$A$28,Sparrow!$A$33,Sparrow!$A$38)</c15:sqref>
                  </c15:fullRef>
                </c:ext>
              </c:extLst>
              <c:f>(Sparrow!$A$3,Sparrow!$A$8,Sparrow!$A$13,Sparrow!$A$18,Sparrow!$A$23,Sparrow!$A$28,Sparrow!$A$33)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(Sparrow!$G$3,Sparrow!$G$8,Sparrow!$G$13,Sparrow!$G$18,Sparrow!$G$23,Sparrow!$G$28,Sparrow!$G$33,Sparrow!$G$38)</c15:sqref>
                  </c15:fullRef>
                </c:ext>
              </c:extLst>
              <c:f>(Sparrow!$G$3,Sparrow!$G$8,Sparrow!$G$13,Sparrow!$G$18,Sparrow!$G$23,Sparrow!$G$28,Sparrow!$G$33)</c:f>
              <c:numCache>
                <c:formatCode>General</c:formatCode>
                <c:ptCount val="7"/>
                <c:pt idx="0">
                  <c:v>0.9850275807722616</c:v>
                </c:pt>
                <c:pt idx="1">
                  <c:v>0.98568781295588059</c:v>
                </c:pt>
                <c:pt idx="2">
                  <c:v>0.98479476877018834</c:v>
                </c:pt>
                <c:pt idx="3">
                  <c:v>0.98309083759339366</c:v>
                </c:pt>
                <c:pt idx="4">
                  <c:v>0.98131574815512634</c:v>
                </c:pt>
                <c:pt idx="5">
                  <c:v>0.98131574815512634</c:v>
                </c:pt>
                <c:pt idx="6">
                  <c:v>0.93963767571224532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E-4E3F-AFE8-48A735CAE3D8}"/>
            </c:ext>
          </c:extLst>
        </c:ser>
        <c:ser>
          <c:idx val="1"/>
          <c:order val="1"/>
          <c:tx>
            <c:v>Sleep(100)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>
                <a:noFill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(Sparrow!$A$3,Sparrow!$A$8,Sparrow!$A$13,Sparrow!$A$18,Sparrow!$A$23,Sparrow!$A$28,Sparrow!$A$33,Sparrow!$A$38)</c15:sqref>
                  </c15:fullRef>
                </c:ext>
              </c:extLst>
              <c:f>(Sparrow!$A$3,Sparrow!$A$8,Sparrow!$A$13,Sparrow!$A$18,Sparrow!$A$23,Sparrow!$A$28,Sparrow!$A$33)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(Sparrow!$G$4,Sparrow!$G$9,Sparrow!$G$14,Sparrow!$G$19,Sparrow!$G$24,Sparrow!$G$29,Sparrow!$G$34,Sparrow!$G$39)</c15:sqref>
                  </c15:fullRef>
                </c:ext>
              </c:extLst>
              <c:f>(Sparrow!$G$4,Sparrow!$G$9,Sparrow!$G$14,Sparrow!$G$19,Sparrow!$G$24,Sparrow!$G$29,Sparrow!$G$34)</c:f>
              <c:numCache>
                <c:formatCode>General</c:formatCode>
                <c:ptCount val="7"/>
                <c:pt idx="0">
                  <c:v>0.98347757671125102</c:v>
                </c:pt>
                <c:pt idx="1">
                  <c:v>0.98143131943626583</c:v>
                </c:pt>
                <c:pt idx="2">
                  <c:v>0.97851187913421267</c:v>
                </c:pt>
                <c:pt idx="3">
                  <c:v>0.97534332084893882</c:v>
                </c:pt>
                <c:pt idx="4">
                  <c:v>0.96708057715368845</c:v>
                </c:pt>
                <c:pt idx="5">
                  <c:v>0.97300394568875481</c:v>
                </c:pt>
                <c:pt idx="6">
                  <c:v>0.92071219871841548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E-4E3F-AFE8-48A735CAE3D8}"/>
            </c:ext>
          </c:extLst>
        </c:ser>
        <c:ser>
          <c:idx val="2"/>
          <c:order val="2"/>
          <c:tx>
            <c:v>Sleep(10)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(Sparrow!$A$3,Sparrow!$A$8,Sparrow!$A$13,Sparrow!$A$18,Sparrow!$A$23,Sparrow!$A$28,Sparrow!$A$33,Sparrow!$A$38)</c15:sqref>
                  </c15:fullRef>
                </c:ext>
              </c:extLst>
              <c:f>(Sparrow!$A$3,Sparrow!$A$8,Sparrow!$A$13,Sparrow!$A$18,Sparrow!$A$23,Sparrow!$A$28,Sparrow!$A$33)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(Sparrow!$G$5,Sparrow!$G$10,Sparrow!$G$15,Sparrow!$G$20,Sparrow!$G$25,Sparrow!$G$30,Sparrow!$G$35,Sparrow!$G$40)</c15:sqref>
                  </c15:fullRef>
                </c:ext>
              </c:extLst>
              <c:f>(Sparrow!$G$5,Sparrow!$G$10,Sparrow!$G$15,Sparrow!$G$20,Sparrow!$G$25,Sparrow!$G$30,Sparrow!$G$35)</c:f>
              <c:numCache>
                <c:formatCode>General</c:formatCode>
                <c:ptCount val="7"/>
                <c:pt idx="0">
                  <c:v>0.9471849662802152</c:v>
                </c:pt>
                <c:pt idx="1">
                  <c:v>0.93193170804443448</c:v>
                </c:pt>
                <c:pt idx="2">
                  <c:v>0.92782140248356459</c:v>
                </c:pt>
                <c:pt idx="3">
                  <c:v>0.90857702069853075</c:v>
                </c:pt>
                <c:pt idx="4">
                  <c:v>0.85932199796472186</c:v>
                </c:pt>
                <c:pt idx="5">
                  <c:v>0.85906758819538676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E-4E3F-AFE8-48A735CAE3D8}"/>
            </c:ext>
          </c:extLst>
        </c:ser>
        <c:ser>
          <c:idx val="3"/>
          <c:order val="3"/>
          <c:tx>
            <c:v>Sleep(1)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ln>
                <a:noFill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(Sparrow!$A$3,Sparrow!$A$8,Sparrow!$A$13,Sparrow!$A$18,Sparrow!$A$23,Sparrow!$A$28,Sparrow!$A$33,Sparrow!$A$38)</c15:sqref>
                  </c15:fullRef>
                </c:ext>
              </c:extLst>
              <c:f>(Sparrow!$A$3,Sparrow!$A$8,Sparrow!$A$13,Sparrow!$A$18,Sparrow!$A$23,Sparrow!$A$28,Sparrow!$A$33)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(Sparrow!$G$6,Sparrow!$G$11,Sparrow!$G$16,Sparrow!$G$21,Sparrow!$G$26,Sparrow!$G$31,Sparrow!$G$36,Sparrow!$G$41)</c15:sqref>
                  </c15:fullRef>
                </c:ext>
              </c:extLst>
              <c:f>(Sparrow!$G$6,Sparrow!$G$11,Sparrow!$G$16,Sparrow!$G$21,Sparrow!$G$26,Sparrow!$G$31,Sparrow!$G$36)</c:f>
              <c:numCache>
                <c:formatCode>General</c:formatCode>
                <c:ptCount val="7"/>
                <c:pt idx="0">
                  <c:v>0.71557374703036891</c:v>
                </c:pt>
                <c:pt idx="1">
                  <c:v>0.66588538923417251</c:v>
                </c:pt>
                <c:pt idx="2">
                  <c:v>0.49232837940358315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8E-4E3F-AFE8-48A735CA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0647040"/>
        <c:axId val="-650653024"/>
      </c:lineChart>
      <c:catAx>
        <c:axId val="-65064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nodes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653024"/>
        <c:crosses val="autoZero"/>
        <c:auto val="1"/>
        <c:lblAlgn val="ctr"/>
        <c:lblOffset val="100"/>
        <c:noMultiLvlLbl val="0"/>
      </c:catAx>
      <c:valAx>
        <c:axId val="-6506530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Task Latecy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647040"/>
        <c:crosses val="autoZero"/>
        <c:crossBetween val="between"/>
      </c:valAx>
      <c:spPr>
        <a:noFill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Sparrow Task Latency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372682510738742"/>
          <c:y val="0.13282643515714382"/>
          <c:w val="0.63047845613209896"/>
          <c:h val="0.58336684837472241"/>
        </c:manualLayout>
      </c:layout>
      <c:lineChart>
        <c:grouping val="standard"/>
        <c:varyColors val="0"/>
        <c:ser>
          <c:idx val="0"/>
          <c:order val="0"/>
          <c:tx>
            <c:v>Sleep(1000)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(Sparrow!$A$3,Sparrow!$A$8,Sparrow!$A$13,Sparrow!$A$18,Sparrow!$A$23,Sparrow!$A$28,Sparrow!$A$33,Sparrow!$A$38)</c15:sqref>
                  </c15:fullRef>
                </c:ext>
              </c:extLst>
              <c:f>(Sparrow!$A$3,Sparrow!$A$8,Sparrow!$A$13,Sparrow!$A$18,Sparrow!$A$23,Sparrow!$A$28,Sparrow!$A$33)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(Sparrow!$I$3,Sparrow!$I$8,Sparrow!$I$13,Sparrow!$I$18,Sparrow!$I$23,Sparrow!$I$28,Sparrow!$I$33,Sparrow!$I$38)</c15:sqref>
                  </c15:fullRef>
                </c:ext>
              </c:extLst>
              <c:f>(Sparrow!$I$3,Sparrow!$I$8,Sparrow!$I$13,Sparrow!$I$18,Sparrow!$I$23,Sparrow!$I$28,Sparrow!$I$33)</c:f>
              <c:numCache>
                <c:formatCode>General</c:formatCode>
                <c:ptCount val="7"/>
                <c:pt idx="0">
                  <c:v>1015.2</c:v>
                </c:pt>
                <c:pt idx="1">
                  <c:v>1014.52</c:v>
                </c:pt>
                <c:pt idx="2">
                  <c:v>1015.44</c:v>
                </c:pt>
                <c:pt idx="3">
                  <c:v>1017.2</c:v>
                </c:pt>
                <c:pt idx="4">
                  <c:v>1019.04</c:v>
                </c:pt>
                <c:pt idx="5">
                  <c:v>1019.04</c:v>
                </c:pt>
                <c:pt idx="6">
                  <c:v>1064.24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C-4DDB-9053-DD7F6409C53C}"/>
            </c:ext>
          </c:extLst>
        </c:ser>
        <c:ser>
          <c:idx val="1"/>
          <c:order val="1"/>
          <c:tx>
            <c:v>Sleep(100)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(Sparrow!$A$3,Sparrow!$A$8,Sparrow!$A$13,Sparrow!$A$18,Sparrow!$A$23,Sparrow!$A$28,Sparrow!$A$33,Sparrow!$A$38)</c15:sqref>
                  </c15:fullRef>
                </c:ext>
              </c:extLst>
              <c:f>(Sparrow!$A$3,Sparrow!$A$8,Sparrow!$A$13,Sparrow!$A$18,Sparrow!$A$23,Sparrow!$A$28,Sparrow!$A$33)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(Sparrow!$I$4,Sparrow!$I$9,Sparrow!$I$14,Sparrow!$I$19,Sparrow!$I$24,Sparrow!$I$29,Sparrow!$I$34,Sparrow!$I$39)</c15:sqref>
                  </c15:fullRef>
                </c:ext>
              </c:extLst>
              <c:f>(Sparrow!$I$4,Sparrow!$I$9,Sparrow!$I$14,Sparrow!$I$19,Sparrow!$I$24,Sparrow!$I$29,Sparrow!$I$34)</c:f>
              <c:numCache>
                <c:formatCode>General</c:formatCode>
                <c:ptCount val="7"/>
                <c:pt idx="0">
                  <c:v>101.68</c:v>
                </c:pt>
                <c:pt idx="1">
                  <c:v>101.892</c:v>
                </c:pt>
                <c:pt idx="2">
                  <c:v>102.196</c:v>
                </c:pt>
                <c:pt idx="3">
                  <c:v>102.52800000000001</c:v>
                </c:pt>
                <c:pt idx="4">
                  <c:v>103.404</c:v>
                </c:pt>
                <c:pt idx="5">
                  <c:v>102.77450614983228</c:v>
                </c:pt>
                <c:pt idx="6">
                  <c:v>108.61157280113689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C-4DDB-9053-DD7F6409C53C}"/>
            </c:ext>
          </c:extLst>
        </c:ser>
        <c:ser>
          <c:idx val="2"/>
          <c:order val="2"/>
          <c:tx>
            <c:v>Sleep(10)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(Sparrow!$A$3,Sparrow!$A$8,Sparrow!$A$13,Sparrow!$A$18,Sparrow!$A$23,Sparrow!$A$28,Sparrow!$A$33,Sparrow!$A$38)</c15:sqref>
                  </c15:fullRef>
                </c:ext>
              </c:extLst>
              <c:f>(Sparrow!$A$3,Sparrow!$A$8,Sparrow!$A$13,Sparrow!$A$18,Sparrow!$A$23,Sparrow!$A$28,Sparrow!$A$33)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(Sparrow!$I$5,Sparrow!$I$10,Sparrow!$I$15,Sparrow!$I$20,Sparrow!$I$25,Sparrow!$I$30,Sparrow!$I$35,Sparrow!$I$40)</c15:sqref>
                  </c15:fullRef>
                </c:ext>
              </c:extLst>
              <c:f>(Sparrow!$I$5,Sparrow!$I$10,Sparrow!$I$15,Sparrow!$I$20,Sparrow!$I$25,Sparrow!$I$30,Sparrow!$I$35)</c:f>
              <c:numCache>
                <c:formatCode>General</c:formatCode>
                <c:ptCount val="7"/>
                <c:pt idx="0">
                  <c:v>10.557600000000001</c:v>
                </c:pt>
                <c:pt idx="1">
                  <c:v>10.730399999999999</c:v>
                </c:pt>
                <c:pt idx="2">
                  <c:v>10.777936328297988</c:v>
                </c:pt>
                <c:pt idx="3">
                  <c:v>11.006221566457642</c:v>
                </c:pt>
                <c:pt idx="4">
                  <c:v>11.637081354468636</c:v>
                </c:pt>
                <c:pt idx="5">
                  <c:v>11.640527634160486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C-4DDB-9053-DD7F6409C53C}"/>
            </c:ext>
          </c:extLst>
        </c:ser>
        <c:ser>
          <c:idx val="3"/>
          <c:order val="3"/>
          <c:tx>
            <c:v>Sleep(1)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(Sparrow!$A$3,Sparrow!$A$8,Sparrow!$A$13,Sparrow!$A$18,Sparrow!$A$23,Sparrow!$A$28,Sparrow!$A$33,Sparrow!$A$38)</c15:sqref>
                  </c15:fullRef>
                </c:ext>
              </c:extLst>
              <c:f>(Sparrow!$A$3,Sparrow!$A$8,Sparrow!$A$13,Sparrow!$A$18,Sparrow!$A$23,Sparrow!$A$28,Sparrow!$A$33)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(Sparrow!$I$6,Sparrow!$I$11,Sparrow!$I$16,Sparrow!$I$21,Sparrow!$I$26,Sparrow!$I$31,Sparrow!$I$36,Sparrow!$I$41)</c15:sqref>
                  </c15:fullRef>
                </c:ext>
              </c:extLst>
              <c:f>(Sparrow!$I$6,Sparrow!$I$11,Sparrow!$I$16,Sparrow!$I$21,Sparrow!$I$26,Sparrow!$I$31,Sparrow!$I$36)</c:f>
              <c:numCache>
                <c:formatCode>General</c:formatCode>
                <c:ptCount val="7"/>
                <c:pt idx="0">
                  <c:v>1.3974800000000001</c:v>
                </c:pt>
                <c:pt idx="1">
                  <c:v>1.5017599367213763</c:v>
                </c:pt>
                <c:pt idx="2">
                  <c:v>2.031164649113709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C-4DDB-9053-DD7F6409C53C}"/>
            </c:ext>
          </c:extLst>
        </c:ser>
        <c:ser>
          <c:idx val="4"/>
          <c:order val="4"/>
          <c:tx>
            <c:v>Sleep(0)</c:v>
          </c:tx>
          <c:spPr>
            <a:ln w="28575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noFill/>
              </a:ln>
            </c:spPr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(Sparrow!$I$7,Sparrow!$I$12,Sparrow!$I$20)</c15:sqref>
                  </c15:fullRef>
                </c:ext>
              </c:extLst>
              <c:f>(Sparrow!$I$7,Sparrow!$I$12,Sparrow!$I$20)</c:f>
              <c:numCache>
                <c:formatCode>General</c:formatCode>
                <c:ptCount val="3"/>
                <c:pt idx="0">
                  <c:v>0.85623003194888181</c:v>
                </c:pt>
                <c:pt idx="1">
                  <c:v>1.0582929214312797</c:v>
                </c:pt>
                <c:pt idx="2">
                  <c:v>11.006221566457642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C-4DDB-9053-DD7F6409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0650848"/>
        <c:axId val="-650648128"/>
      </c:lineChart>
      <c:catAx>
        <c:axId val="-6506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nodes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648128"/>
        <c:crosses val="autoZero"/>
        <c:auto val="1"/>
        <c:lblAlgn val="ctr"/>
        <c:lblOffset val="100"/>
        <c:noMultiLvlLbl val="0"/>
      </c:catAx>
      <c:valAx>
        <c:axId val="-650648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Task Latecy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650848"/>
        <c:crossesAt val="1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3797373202183733"/>
          <c:y val="0.80378518069856653"/>
          <c:w val="0.70767123519751451"/>
          <c:h val="0.13803620701258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Sleep(1)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Sim. Sleep(1)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forward val="112"/>
            <c:dispRSqr val="0"/>
            <c:dispEq val="0"/>
          </c:trendline>
          <c:xVal>
            <c:numRef>
              <c:f>Swift!$A$8:$A$11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Swift!$K$8:$K$11</c:f>
              <c:numCache>
                <c:formatCode>0.000%</c:formatCode>
                <c:ptCount val="4"/>
                <c:pt idx="0">
                  <c:v>0.74239049740163321</c:v>
                </c:pt>
                <c:pt idx="1">
                  <c:v>0.20242914979757085</c:v>
                </c:pt>
                <c:pt idx="2">
                  <c:v>0.12805736970162632</c:v>
                </c:pt>
                <c:pt idx="3">
                  <c:v>1.7348059908633553E-2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8-404F-91CC-555BF15F3D30}"/>
            </c:ext>
          </c:extLst>
        </c:ser>
        <c:ser>
          <c:idx val="1"/>
          <c:order val="1"/>
          <c:tx>
            <c:v>Sleep(10)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Sim. Sleep(10)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64"/>
            <c:dispRSqr val="0"/>
            <c:dispEq val="0"/>
          </c:trendline>
          <c:xVal>
            <c:numRef>
              <c:f>Swift!$A$12:$A$18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Swift!$K$12:$K$18</c:f>
              <c:numCache>
                <c:formatCode>0.000%</c:formatCode>
                <c:ptCount val="7"/>
                <c:pt idx="0">
                  <c:v>0.96030729833546735</c:v>
                </c:pt>
                <c:pt idx="1">
                  <c:v>0.57394298832982593</c:v>
                </c:pt>
                <c:pt idx="2">
                  <c:v>0.30753459764223473</c:v>
                </c:pt>
                <c:pt idx="3">
                  <c:v>0.15752165922814387</c:v>
                </c:pt>
                <c:pt idx="4">
                  <c:v>0.22612497173437854</c:v>
                </c:pt>
                <c:pt idx="5">
                  <c:v>2.8261627304500193E-2</c:v>
                </c:pt>
                <c:pt idx="6">
                  <c:v>4.7660883283262932E-3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8-404F-91CC-555BF15F3D30}"/>
            </c:ext>
          </c:extLst>
        </c:ser>
        <c:ser>
          <c:idx val="2"/>
          <c:order val="2"/>
          <c:tx>
            <c:v>Sleep(100)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Sim. Sleep(100)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forward val="64"/>
            <c:dispRSqr val="0"/>
            <c:dispEq val="0"/>
          </c:trendline>
          <c:xVal>
            <c:numRef>
              <c:f>Swift!$A$19:$A$25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Swift!$K$19:$K$25</c:f>
              <c:numCache>
                <c:formatCode>0.000%</c:formatCode>
                <c:ptCount val="7"/>
                <c:pt idx="0">
                  <c:v>0.99585062240663902</c:v>
                </c:pt>
                <c:pt idx="1">
                  <c:v>0.99479391186125943</c:v>
                </c:pt>
                <c:pt idx="2">
                  <c:v>0.7839243251718101</c:v>
                </c:pt>
                <c:pt idx="3">
                  <c:v>0.66462847268376979</c:v>
                </c:pt>
                <c:pt idx="4">
                  <c:v>0.43504111138502588</c:v>
                </c:pt>
                <c:pt idx="5">
                  <c:v>0.2550087978035242</c:v>
                </c:pt>
                <c:pt idx="6">
                  <c:v>4.6176721391212261E-2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8-404F-91CC-555BF15F3D30}"/>
            </c:ext>
          </c:extLst>
        </c:ser>
        <c:ser>
          <c:idx val="3"/>
          <c:order val="3"/>
          <c:tx>
            <c:v>Sleep(1000)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Swift!$A$26:$A$33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Swift!$K$26:$K$33</c:f>
              <c:numCache>
                <c:formatCode>0.000%</c:formatCode>
                <c:ptCount val="8"/>
                <c:pt idx="0">
                  <c:v>0.99858201354077214</c:v>
                </c:pt>
                <c:pt idx="1">
                  <c:v>0.99781478561949333</c:v>
                </c:pt>
                <c:pt idx="2">
                  <c:v>0.9971083856815236</c:v>
                </c:pt>
                <c:pt idx="3">
                  <c:v>0.99214223351059605</c:v>
                </c:pt>
                <c:pt idx="4">
                  <c:v>0.9444386728747769</c:v>
                </c:pt>
                <c:pt idx="5">
                  <c:v>0.91703577356552679</c:v>
                </c:pt>
                <c:pt idx="6">
                  <c:v>0.47892032202602453</c:v>
                </c:pt>
                <c:pt idx="7">
                  <c:v>9.8860044823144325E-2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F8-404F-91CC-555BF15F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650304"/>
        <c:axId val="-6530349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Heterogeneous Workload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Swift!$A$37:$A$44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Swift!$I$37:$I$44</c15:sqref>
                        </c15:formulaRef>
                      </c:ext>
                    </c:extLst>
                    <c:numCache>
                      <c:formatCode>0.000%</c:formatCode>
                      <c:ptCount val="8"/>
                      <c:pt idx="0">
                        <c:v>0.99878784720498937</c:v>
                      </c:pt>
                      <c:pt idx="1">
                        <c:v>0.98339760233251339</c:v>
                      </c:pt>
                      <c:pt idx="2">
                        <c:v>0.93194263383209497</c:v>
                      </c:pt>
                      <c:pt idx="3">
                        <c:v>0.76914107904962092</c:v>
                      </c:pt>
                      <c:pt idx="4">
                        <c:v>0.39605605582184589</c:v>
                      </c:pt>
                      <c:pt idx="5">
                        <c:v>0.13589239346712403</c:v>
                      </c:pt>
                      <c:pt idx="6">
                        <c:v>1.8959984561615517E-2</c:v>
                      </c:pt>
                      <c:pt idx="7">
                        <c:v>3.5015339796590664E-3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1F8-404F-91CC-555BF15F3D30}"/>
                  </c:ext>
                </c:extLst>
              </c15:ser>
            </c15:filteredScatterSeries>
          </c:ext>
        </c:extLst>
      </c:scatterChart>
      <c:valAx>
        <c:axId val="-65065030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034928"/>
        <c:crosses val="autoZero"/>
        <c:crossBetween val="midCat"/>
      </c:valAx>
      <c:valAx>
        <c:axId val="-653034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6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Latency</a:t>
            </a:r>
            <a:r>
              <a:rPr lang="en-US" baseline="0"/>
              <a:t> (ms)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Sleep(1)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Swift!$A$8:$A$11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Swift!$N$8:$N$11</c:f>
              <c:numCache>
                <c:formatCode>General</c:formatCode>
                <c:ptCount val="4"/>
                <c:pt idx="0">
                  <c:v>1.3470000000000002</c:v>
                </c:pt>
                <c:pt idx="1">
                  <c:v>4.9400000000000004</c:v>
                </c:pt>
                <c:pt idx="2">
                  <c:v>7.8090000000000002</c:v>
                </c:pt>
                <c:pt idx="3">
                  <c:v>57.643333333333331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8-4FCA-BC9D-8ED60E91818B}"/>
            </c:ext>
          </c:extLst>
        </c:ser>
        <c:ser>
          <c:idx val="1"/>
          <c:order val="1"/>
          <c:tx>
            <c:v>Sleep(10)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Swift!$A$12:$A$18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Swift!$N$12:$N$18</c:f>
              <c:numCache>
                <c:formatCode>General</c:formatCode>
                <c:ptCount val="7"/>
                <c:pt idx="0">
                  <c:v>10.413333333333334</c:v>
                </c:pt>
                <c:pt idx="1">
                  <c:v>17.423333333333332</c:v>
                </c:pt>
                <c:pt idx="2">
                  <c:v>32.516666666666666</c:v>
                </c:pt>
                <c:pt idx="3">
                  <c:v>63.483333333333334</c:v>
                </c:pt>
                <c:pt idx="4">
                  <c:v>44.223333333333336</c:v>
                </c:pt>
                <c:pt idx="5">
                  <c:v>353.83666666666664</c:v>
                </c:pt>
                <c:pt idx="6">
                  <c:v>2098.1566666666668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8-4FCA-BC9D-8ED60E91818B}"/>
            </c:ext>
          </c:extLst>
        </c:ser>
        <c:ser>
          <c:idx val="2"/>
          <c:order val="2"/>
          <c:tx>
            <c:v>Sleep(100)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Swift!$A$19:$A$25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Swift!$N$19:$N$25</c:f>
              <c:numCache>
                <c:formatCode>General</c:formatCode>
                <c:ptCount val="7"/>
                <c:pt idx="0">
                  <c:v>100.41666666666667</c:v>
                </c:pt>
                <c:pt idx="1">
                  <c:v>100.52333333333333</c:v>
                </c:pt>
                <c:pt idx="2">
                  <c:v>127.56333333333333</c:v>
                </c:pt>
                <c:pt idx="3">
                  <c:v>150.46</c:v>
                </c:pt>
                <c:pt idx="4">
                  <c:v>229.86333333333334</c:v>
                </c:pt>
                <c:pt idx="5">
                  <c:v>392.14333333333332</c:v>
                </c:pt>
                <c:pt idx="6">
                  <c:v>2165.5933333333332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68-4FCA-BC9D-8ED60E91818B}"/>
            </c:ext>
          </c:extLst>
        </c:ser>
        <c:ser>
          <c:idx val="3"/>
          <c:order val="3"/>
          <c:tx>
            <c:v>Sleep(1000)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Swift!$A$26:$A$33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Swift!$N$26:$N$33</c:f>
              <c:numCache>
                <c:formatCode>General</c:formatCode>
                <c:ptCount val="8"/>
                <c:pt idx="0">
                  <c:v>1001.42</c:v>
                </c:pt>
                <c:pt idx="1">
                  <c:v>1002.19</c:v>
                </c:pt>
                <c:pt idx="2">
                  <c:v>1002.9</c:v>
                </c:pt>
                <c:pt idx="3">
                  <c:v>1007.92</c:v>
                </c:pt>
                <c:pt idx="4">
                  <c:v>1058.83</c:v>
                </c:pt>
                <c:pt idx="5">
                  <c:v>1090.47</c:v>
                </c:pt>
                <c:pt idx="6">
                  <c:v>2088.0300000000002</c:v>
                </c:pt>
                <c:pt idx="7">
                  <c:v>10115.31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68-4FCA-BC9D-8ED60E91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033840"/>
        <c:axId val="-6530381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Heterogeneous Workload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Swift!$A$37:$A$44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Swift!$J$37:$J$44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0.68784444444452852</c:v>
                      </c:pt>
                      <c:pt idx="1">
                        <c:v>671.55150555555554</c:v>
                      </c:pt>
                      <c:pt idx="2">
                        <c:v>1168.1419150793649</c:v>
                      </c:pt>
                      <c:pt idx="3">
                        <c:v>1603.1069622222221</c:v>
                      </c:pt>
                      <c:pt idx="4">
                        <c:v>1996.6798892473121</c:v>
                      </c:pt>
                      <c:pt idx="5">
                        <c:v>1095.9003417989418</c:v>
                      </c:pt>
                      <c:pt idx="6">
                        <c:v>1498.8713884514436</c:v>
                      </c:pt>
                      <c:pt idx="7">
                        <c:v>2021.9706657516342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168-4FCA-BC9D-8ED60E91818B}"/>
                  </c:ext>
                </c:extLst>
              </c15:ser>
            </c15:filteredScatterSeries>
          </c:ext>
        </c:extLst>
      </c:scatterChart>
      <c:valAx>
        <c:axId val="-65303384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038192"/>
        <c:crosses val="autoZero"/>
        <c:crossBetween val="midCat"/>
      </c:valAx>
      <c:valAx>
        <c:axId val="-653038192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03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(tasks/s)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Sleep(0)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Swift!$A$3:$A$7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Swift!$L$3:$L$7</c:f>
              <c:numCache>
                <c:formatCode>General</c:formatCode>
                <c:ptCount val="5"/>
                <c:pt idx="0">
                  <c:v>7042.2535211267605</c:v>
                </c:pt>
                <c:pt idx="1">
                  <c:v>3277.4945375091042</c:v>
                </c:pt>
                <c:pt idx="2">
                  <c:v>1587.5415784699123</c:v>
                </c:pt>
                <c:pt idx="3">
                  <c:v>818.43478893476174</c:v>
                </c:pt>
                <c:pt idx="4">
                  <c:v>410.13428590328772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A-4930-899C-228DD350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036560"/>
        <c:axId val="-653035472"/>
        <c:extLst/>
      </c:scatterChart>
      <c:valAx>
        <c:axId val="-6530365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035472"/>
        <c:crosses val="autoZero"/>
        <c:crossBetween val="midCat"/>
        <c:majorUnit val="1"/>
        <c:minorUnit val="1"/>
      </c:valAx>
      <c:valAx>
        <c:axId val="-6530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0365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Charm ++ Task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38810621102001"/>
          <c:y val="0.11915110356536503"/>
          <c:w val="0.63047845613209896"/>
          <c:h val="0.78507626699463928"/>
        </c:manualLayout>
      </c:layout>
      <c:lineChart>
        <c:grouping val="standard"/>
        <c:varyColors val="0"/>
        <c:ser>
          <c:idx val="0"/>
          <c:order val="0"/>
          <c:tx>
            <c:v>Sleep(1000)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('Charm++'!$J$3,'Charm++'!$J$8,'Charm++'!$J$13,'Charm++'!$J$18,'Charm++'!$J$23,'Charm++'!$J$28,'Charm++'!$J$33,'Charm++'!$J$38)</c:f>
              <c:numCache>
                <c:formatCode>General</c:formatCode>
                <c:ptCount val="8"/>
                <c:pt idx="0">
                  <c:v>0.50000396499999999</c:v>
                </c:pt>
                <c:pt idx="1">
                  <c:v>0.12500097125000001</c:v>
                </c:pt>
                <c:pt idx="2">
                  <c:v>3.1250279375000002E-2</c:v>
                </c:pt>
                <c:pt idx="3">
                  <c:v>7.8126918749999996E-3</c:v>
                </c:pt>
                <c:pt idx="4">
                  <c:v>1.9532113281250001E-3</c:v>
                </c:pt>
                <c:pt idx="5">
                  <c:v>4.8830337890624995E-4</c:v>
                </c:pt>
                <c:pt idx="6">
                  <c:v>1.2207743774414064E-4</c:v>
                </c:pt>
                <c:pt idx="7">
                  <c:v>3.0520036315917971E-5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B-4934-A29A-FCFB484A94B3}"/>
            </c:ext>
          </c:extLst>
        </c:ser>
        <c:ser>
          <c:idx val="1"/>
          <c:order val="1"/>
          <c:tx>
            <c:v>Sleep(100)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('Charm++'!$J$4,'Charm++'!$J$9,'Charm++'!$J$14,'Charm++'!$J$19,'Charm++'!$J$24,'Charm++'!$J$29,'Charm++'!$J$34,'Charm++'!$J$39)</c:f>
              <c:numCache>
                <c:formatCode>General</c:formatCode>
                <c:ptCount val="8"/>
                <c:pt idx="0">
                  <c:v>5.0000386500000001E-2</c:v>
                </c:pt>
                <c:pt idx="1">
                  <c:v>1.2500102500000001E-2</c:v>
                </c:pt>
                <c:pt idx="2">
                  <c:v>3.1251267187499998E-3</c:v>
                </c:pt>
                <c:pt idx="3">
                  <c:v>7.8128221093750011E-4</c:v>
                </c:pt>
                <c:pt idx="4">
                  <c:v>1.9532350976562499E-4</c:v>
                </c:pt>
                <c:pt idx="5">
                  <c:v>4.8831060546875003E-5</c:v>
                </c:pt>
                <c:pt idx="6">
                  <c:v>1.2207948364257812E-5</c:v>
                </c:pt>
                <c:pt idx="7">
                  <c:v>3.0520420227050782E-6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B-4934-A29A-FCFB484A94B3}"/>
            </c:ext>
          </c:extLst>
        </c:ser>
        <c:ser>
          <c:idx val="2"/>
          <c:order val="2"/>
          <c:tx>
            <c:v>Sleep(10)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('Charm++'!$J$5,'Charm++'!$J$10,'Charm++'!$J$15,'Charm++'!$J$20,'Charm++'!$J$25,'Charm++'!$J$30,'Charm++'!$J$35,'Charm++'!$J$40)</c:f>
              <c:numCache>
                <c:formatCode>General</c:formatCode>
                <c:ptCount val="8"/>
                <c:pt idx="0">
                  <c:v>5.0664928E-3</c:v>
                </c:pt>
                <c:pt idx="1">
                  <c:v>1.2667548E-3</c:v>
                </c:pt>
                <c:pt idx="2">
                  <c:v>3.1668961250000004E-4</c:v>
                </c:pt>
                <c:pt idx="3">
                  <c:v>7.91724359375E-5</c:v>
                </c:pt>
                <c:pt idx="4">
                  <c:v>1.9798016796875E-5</c:v>
                </c:pt>
                <c:pt idx="5">
                  <c:v>4.9503004882812496E-6</c:v>
                </c:pt>
                <c:pt idx="6">
                  <c:v>1.2378481811523437E-6</c:v>
                </c:pt>
                <c:pt idx="7">
                  <c:v>3.0984197998046875E-7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B-4934-A29A-FCFB484A94B3}"/>
            </c:ext>
          </c:extLst>
        </c:ser>
        <c:ser>
          <c:idx val="3"/>
          <c:order val="3"/>
          <c:tx>
            <c:v>Sleep(1)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('Charm++'!$J$6,'Charm++'!$J$11,'Charm++'!$J$16,'Charm++'!$J$21,'Charm++'!$J$26,'Charm++'!$J$31,'Charm++'!$J$36,'Charm++'!$J$41)</c:f>
              <c:numCache>
                <c:formatCode>General</c:formatCode>
                <c:ptCount val="8"/>
                <c:pt idx="0">
                  <c:v>2.83322305E-4</c:v>
                </c:pt>
                <c:pt idx="1">
                  <c:v>7.2464377499999999E-5</c:v>
                </c:pt>
                <c:pt idx="2">
                  <c:v>1.92611478125E-5</c:v>
                </c:pt>
                <c:pt idx="3">
                  <c:v>1.0519712421875E-5</c:v>
                </c:pt>
                <c:pt idx="4">
                  <c:v>1.5724577929687499E-6</c:v>
                </c:pt>
                <c:pt idx="5">
                  <c:v>5.0065950195312496E-7</c:v>
                </c:pt>
                <c:pt idx="6">
                  <c:v>1.7371086059570311E-7</c:v>
                </c:pt>
                <c:pt idx="7">
                  <c:v>6.5663848266601558E-8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B-4934-A29A-FCFB484A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4439856"/>
        <c:axId val="-652824880"/>
      </c:lineChart>
      <c:catAx>
        <c:axId val="-121443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nodes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824880"/>
        <c:crosses val="autoZero"/>
        <c:auto val="1"/>
        <c:lblAlgn val="ctr"/>
        <c:lblOffset val="100"/>
        <c:noMultiLvlLbl val="0"/>
      </c:catAx>
      <c:valAx>
        <c:axId val="-652824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Task Latecy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4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(tasks/s)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Sleep(0)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('Charm++'!$A$7,'Charm++'!$A$12,'Charm++'!$A$17,'Charm++'!$A$22,'Charm++'!$A$27,'Charm++'!$A$32,'Charm++'!$A$37,'Charm++'!$A$42)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('Charm++'!$H$7,'Charm++'!$H$12,'Charm++'!$H$17,'Charm++'!$H$22,'Charm++'!$H$27,'Charm++'!$H$32,'Charm++'!$H$37,'Charm++'!$H$42)</c:f>
              <c:numCache>
                <c:formatCode>General</c:formatCode>
                <c:ptCount val="8"/>
                <c:pt idx="0">
                  <c:v>10885.892873452256</c:v>
                </c:pt>
                <c:pt idx="1">
                  <c:v>19249.770975849813</c:v>
                </c:pt>
                <c:pt idx="2">
                  <c:v>28334.744403604633</c:v>
                </c:pt>
                <c:pt idx="3">
                  <c:v>38441.068592512951</c:v>
                </c:pt>
                <c:pt idx="4">
                  <c:v>48796.59365618664</c:v>
                </c:pt>
                <c:pt idx="5">
                  <c:v>58325.625844901369</c:v>
                </c:pt>
                <c:pt idx="6">
                  <c:v>58612.915643531669</c:v>
                </c:pt>
                <c:pt idx="7">
                  <c:v>63366.449877665378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1-4DC6-912B-B76C03FD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24336"/>
        <c:axId val="-652823248"/>
      </c:scatterChart>
      <c:valAx>
        <c:axId val="-65282433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823248"/>
        <c:crosses val="autoZero"/>
        <c:crossBetween val="midCat"/>
        <c:majorUnit val="1"/>
        <c:minorUnit val="1"/>
      </c:valAx>
      <c:valAx>
        <c:axId val="-6528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8243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Sleep(10)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('Charm++'!$A$5,'Charm++'!$A$10,'Charm++'!$A$15,'Charm++'!$A$20,'Charm++'!$A$25,'Charm++'!$A$30,'Charm++'!$A$35,'Charm++'!$A$40)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('Charm++'!$G$5,'Charm++'!$G$10,'Charm++'!$G$15,'Charm++'!$G$20,'Charm++'!$G$25,'Charm++'!$G$30,'Charm++'!$G$35,'Charm++'!$G$40)</c:f>
              <c:numCache>
                <c:formatCode>General</c:formatCode>
                <c:ptCount val="8"/>
                <c:pt idx="0">
                  <c:v>0.98687597069120481</c:v>
                </c:pt>
                <c:pt idx="1">
                  <c:v>0.98677344660545196</c:v>
                </c:pt>
                <c:pt idx="2">
                  <c:v>0.9867706033458864</c:v>
                </c:pt>
                <c:pt idx="3">
                  <c:v>0.98677019438524216</c:v>
                </c:pt>
                <c:pt idx="4">
                  <c:v>0.98652557982892974</c:v>
                </c:pt>
                <c:pt idx="5">
                  <c:v>0.98636689056734783</c:v>
                </c:pt>
                <c:pt idx="6">
                  <c:v>0.98614930618035646</c:v>
                </c:pt>
                <c:pt idx="7">
                  <c:v>0.98494006935160017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E-4017-8D31-580B05C5FA08}"/>
            </c:ext>
          </c:extLst>
        </c:ser>
        <c:ser>
          <c:idx val="2"/>
          <c:order val="2"/>
          <c:tx>
            <c:v>Sleep(100)</c:v>
          </c:tx>
          <c:spPr>
            <a:ln w="19050" cap="rnd">
              <a:solidFill>
                <a:schemeClr val="accent5"/>
              </a:solidFill>
              <a:round/>
            </a:ln>
            <a:effectLst>
              <a:glow rad="63500">
                <a:schemeClr val="accent5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alpha val="93000"/>
                </a:schemeClr>
              </a:solidFill>
              <a:ln w="9525">
                <a:solidFill>
                  <a:schemeClr val="accent5"/>
                </a:solidFill>
              </a:ln>
              <a:effectLst>
                <a:glow rad="63500">
                  <a:schemeClr val="accent5">
                    <a:alpha val="40000"/>
                  </a:schemeClr>
                </a:glow>
              </a:effectLst>
            </c:spPr>
          </c:marker>
          <c:xVal>
            <c:numRef>
              <c:f>('Charm++'!$A$4,'Charm++'!$A$9,'Charm++'!$A$14,'Charm++'!$A$19,'Charm++'!$A$24,'Charm++'!$A$29,'Charm++'!$A$34,'Charm++'!$A$39)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('Charm++'!$G$4,'Charm++'!$G$9,'Charm++'!$G$14,'Charm++'!$G$19,'Charm++'!$G$24,'Charm++'!$G$29,'Charm++'!$G$34,'Charm++'!$G$39)</c:f>
              <c:numCache>
                <c:formatCode>General</c:formatCode>
                <c:ptCount val="8"/>
                <c:pt idx="0">
                  <c:v>0.99999227005975244</c:v>
                </c:pt>
                <c:pt idx="1">
                  <c:v>0.99999180006723942</c:v>
                </c:pt>
                <c:pt idx="2">
                  <c:v>0.99995945164423594</c:v>
                </c:pt>
                <c:pt idx="3">
                  <c:v>0.99995877169984271</c:v>
                </c:pt>
                <c:pt idx="4">
                  <c:v>0.99994363317739787</c:v>
                </c:pt>
                <c:pt idx="5">
                  <c:v>0.99993988361419706</c:v>
                </c:pt>
                <c:pt idx="6">
                  <c:v>0.99992487564409283</c:v>
                </c:pt>
                <c:pt idx="7">
                  <c:v>0.99990687867238914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E-4017-8D31-580B05C5FA08}"/>
            </c:ext>
          </c:extLst>
        </c:ser>
        <c:ser>
          <c:idx val="3"/>
          <c:order val="3"/>
          <c:tx>
            <c:v>Sleep(1000)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('Charm++'!$A$3,'Charm++'!$A$8,'Charm++'!$A$13,'Charm++'!$A$18,'Charm++'!$A$23,'Charm++'!$A$28,'Charm++'!$A$33,'Charm++'!$A$38,'Charm++'!$A$34)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64</c:v>
                </c:pt>
              </c:numCache>
            </c:numRef>
          </c:xVal>
          <c:yVal>
            <c:numRef>
              <c:f>('Charm++'!$G$3,'Charm++'!$G$8,'Charm++'!$G$13,'Charm++'!$G$18,'Charm++'!$G$23,'Charm++'!$G$28,'Charm++'!$G$33,'Charm++'!$G$38)</c:f>
              <c:numCache>
                <c:formatCode>General</c:formatCode>
                <c:ptCount val="8"/>
                <c:pt idx="0">
                  <c:v>0.99999207006288438</c:v>
                </c:pt>
                <c:pt idx="1">
                  <c:v>0.99999223006037241</c:v>
                </c:pt>
                <c:pt idx="2">
                  <c:v>0.99999106007992289</c:v>
                </c:pt>
                <c:pt idx="3">
                  <c:v>0.99997544060317889</c:v>
                </c:pt>
                <c:pt idx="4">
                  <c:v>0.99995580195355371</c:v>
                </c:pt>
                <c:pt idx="5">
                  <c:v>0.99995468205380944</c:v>
                </c:pt>
                <c:pt idx="6">
                  <c:v>0.99994163340685804</c:v>
                </c:pt>
                <c:pt idx="7">
                  <c:v>0.99991945648778002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0E-4017-8D31-580B05C5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21616"/>
        <c:axId val="-652821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Sleep(1)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name>Sim. Sleep(1)</c:nam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forward val="112"/>
                  <c:dispRSqr val="1"/>
                  <c:dispEq val="0"/>
                  <c:trendlineLbl>
                    <c:layout>
                      <c:manualLayout>
                        <c:x val="-0.41232635142037005"/>
                        <c:y val="-1.3040244969378828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('Charm++'!$A$6,'Charm++'!$A$11,'Charm++'!$A$16,'Charm++'!$A$21,'Charm++'!$A$26,'Charm++'!$A$31,'Charm++'!$A$36,'Charm++'!$A$41)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('Charm++'!$G$6,'Charm++'!$G$11,'Charm++'!$G$16,'Charm++'!$G$21,'Charm++'!$G$26,'Charm++'!$G$31,'Charm++'!$G$36,'Charm++'!$G$41)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1.7647745736079621</c:v>
                      </c:pt>
                      <c:pt idx="1">
                        <c:v>1.7249854937344904</c:v>
                      </c:pt>
                      <c:pt idx="2">
                        <c:v>1.6224370584872174</c:v>
                      </c:pt>
                      <c:pt idx="3">
                        <c:v>0.7426533812611128</c:v>
                      </c:pt>
                      <c:pt idx="4">
                        <c:v>1.2420842128376386</c:v>
                      </c:pt>
                      <c:pt idx="5">
                        <c:v>0.97527610700518785</c:v>
                      </c:pt>
                      <c:pt idx="6">
                        <c:v>0.70272124656677637</c:v>
                      </c:pt>
                      <c:pt idx="7">
                        <c:v>0.46475463943410217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20E-4017-8D31-580B05C5FA08}"/>
                  </c:ext>
                </c:extLst>
              </c15:ser>
            </c15:filteredScatterSeries>
          </c:ext>
        </c:extLst>
      </c:scatterChart>
      <c:valAx>
        <c:axId val="-65282161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821072"/>
        <c:crosses val="autoZero"/>
        <c:crossBetween val="midCat"/>
      </c:valAx>
      <c:valAx>
        <c:axId val="-652821072"/>
        <c:scaling>
          <c:orientation val="minMax"/>
          <c:max val="1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82161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(tasks/s)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Legion!$H$2</c:f>
              <c:strCache>
                <c:ptCount val="1"/>
                <c:pt idx="0">
                  <c:v>Throughput (task/s)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(Legion!$A$3,Legion!$A$8,Legion!$A$13,Legion!$A$18,Legion!$A$23,Legion!$A$28)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(Legion!$H$7,Legion!$H$12,Legion!$H$17,Legion!$H$22,Legion!$H$27,Legion!$H$32)</c:f>
              <c:numCache>
                <c:formatCode>General</c:formatCode>
                <c:ptCount val="6"/>
                <c:pt idx="0">
                  <c:v>1523.3037289408971</c:v>
                </c:pt>
                <c:pt idx="1">
                  <c:v>2484.5109376867263</c:v>
                </c:pt>
                <c:pt idx="2">
                  <c:v>4636.1535132423614</c:v>
                </c:pt>
                <c:pt idx="3">
                  <c:v>6904.1272182097737</c:v>
                </c:pt>
                <c:pt idx="4">
                  <c:v>8550.6818687814502</c:v>
                </c:pt>
                <c:pt idx="5">
                  <c:v>9683.6860273004895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5-4F50-BBB2-DF0CCFA1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19984"/>
        <c:axId val="-652817808"/>
      </c:scatterChart>
      <c:valAx>
        <c:axId val="-6528199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817808"/>
        <c:crosses val="autoZero"/>
        <c:crossBetween val="midCat"/>
        <c:majorUnit val="1"/>
        <c:minorUnit val="1"/>
      </c:valAx>
      <c:valAx>
        <c:axId val="-6528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8199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Sleep(1)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92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(Legion!$A$3,Legion!$A$8,Legion!$A$13,Legion!$A$18,Legion!$A$23,Legion!$A$28)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(Legion!$G$6,Legion!$G$11,Legion!$G$16,Legion!$G$21,Legion!$G$26,Legion!$G$31)</c:f>
              <c:numCache>
                <c:formatCode>General</c:formatCode>
                <c:ptCount val="6"/>
                <c:pt idx="0">
                  <c:v>0.57574004185630101</c:v>
                </c:pt>
                <c:pt idx="1">
                  <c:v>0.56380906245262241</c:v>
                </c:pt>
                <c:pt idx="2">
                  <c:v>0.53309669526428338</c:v>
                </c:pt>
                <c:pt idx="3">
                  <c:v>0.47717962410556858</c:v>
                </c:pt>
                <c:pt idx="4">
                  <c:v>0.38656735648194018</c:v>
                </c:pt>
                <c:pt idx="5">
                  <c:v>0.26505717588099509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1-4898-99FA-1E6E2B9731A2}"/>
            </c:ext>
          </c:extLst>
        </c:ser>
        <c:ser>
          <c:idx val="1"/>
          <c:order val="1"/>
          <c:tx>
            <c:v>Sleep(10)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(Legion!$A$5,Legion!$A$11,Legion!$A$16,Legion!$A$21,Legion!$A$26,Legion!$A$31)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(Legion!$G$5,Legion!$G$10,Legion!$G$15,Legion!$G$20,Legion!$G$25,Legion!$G$30)</c:f>
              <c:numCache>
                <c:formatCode>General</c:formatCode>
                <c:ptCount val="6"/>
                <c:pt idx="0">
                  <c:v>0.94148527775934032</c:v>
                </c:pt>
                <c:pt idx="1">
                  <c:v>0.93640981413669788</c:v>
                </c:pt>
                <c:pt idx="2">
                  <c:v>0.92658139646935422</c:v>
                </c:pt>
                <c:pt idx="3">
                  <c:v>0.90019663895381297</c:v>
                </c:pt>
                <c:pt idx="4">
                  <c:v>0.86457025670820065</c:v>
                </c:pt>
                <c:pt idx="5">
                  <c:v>0.75354474985780617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1-4898-99FA-1E6E2B9731A2}"/>
            </c:ext>
          </c:extLst>
        </c:ser>
        <c:ser>
          <c:idx val="2"/>
          <c:order val="2"/>
          <c:tx>
            <c:v>Sleep(100)</c:v>
          </c:tx>
          <c:spPr>
            <a:ln w="19050" cap="rnd">
              <a:solidFill>
                <a:schemeClr val="accent5"/>
              </a:solidFill>
              <a:round/>
            </a:ln>
            <a:effectLst>
              <a:glow>
                <a:schemeClr val="bg1">
                  <a:lumMod val="65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>
                <a:glow>
                  <a:schemeClr val="bg1">
                    <a:lumMod val="65000"/>
                    <a:alpha val="40000"/>
                  </a:schemeClr>
                </a:glow>
              </a:effectLst>
            </c:spPr>
          </c:marker>
          <c:xVal>
            <c:numRef>
              <c:f>(Legion!$A$3,Legion!$A$8,Legion!$A$13,Legion!$A$18,Legion!$A$23,Legion!$A$28)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(Legion!$G$4,Legion!$G$9,Legion!$G$14,Legion!$G$19,Legion!$G$24,Legion!$G$29)</c:f>
              <c:numCache>
                <c:formatCode>General</c:formatCode>
                <c:ptCount val="6"/>
                <c:pt idx="0">
                  <c:v>0.99325007116636754</c:v>
                </c:pt>
                <c:pt idx="1">
                  <c:v>0.99288991531641924</c:v>
                </c:pt>
                <c:pt idx="2">
                  <c:v>0.98989975582142731</c:v>
                </c:pt>
                <c:pt idx="3">
                  <c:v>0.98821377198429772</c:v>
                </c:pt>
                <c:pt idx="4">
                  <c:v>0.98327749792061392</c:v>
                </c:pt>
                <c:pt idx="5">
                  <c:v>0.96914184524801161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1-4898-99FA-1E6E2B9731A2}"/>
            </c:ext>
          </c:extLst>
        </c:ser>
        <c:ser>
          <c:idx val="3"/>
          <c:order val="3"/>
          <c:tx>
            <c:v>Sleep(1000)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(Legion!$A$7,Legion!$A$12,Legion!$A$17,Legion!$A$22,Legion!$A$27,Legion!$A$32)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(Legion!$G$3,Legion!$G$8,Legion!$G$13,Legion!$G$18,Legion!$G$23,Legion!$G$28)</c:f>
              <c:numCache>
                <c:formatCode>General</c:formatCode>
                <c:ptCount val="6"/>
                <c:pt idx="0">
                  <c:v>0.9989155772493381</c:v>
                </c:pt>
                <c:pt idx="1">
                  <c:v>0.99883156683311858</c:v>
                </c:pt>
                <c:pt idx="2">
                  <c:v>0.99846515935703639</c:v>
                </c:pt>
                <c:pt idx="3">
                  <c:v>0.99749628432634085</c:v>
                </c:pt>
                <c:pt idx="4">
                  <c:v>0.99597000656244628</c:v>
                </c:pt>
                <c:pt idx="5">
                  <c:v>0.9930413619602001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1-4898-99FA-1E6E2B97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687728"/>
        <c:axId val="-652693168"/>
        <c:extLst/>
      </c:scatterChart>
      <c:valAx>
        <c:axId val="-65268772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693168"/>
        <c:crosses val="autoZero"/>
        <c:crossBetween val="midCat"/>
      </c:valAx>
      <c:valAx>
        <c:axId val="-652693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6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Legion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Sleep (1000)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(Legion!$H$3,Legion!$H$8,Legion!$H$13,Legion!$H$18,Legion!$H$23,Legion!$H$28)</c:f>
              <c:numCache>
                <c:formatCode>General</c:formatCode>
                <c:ptCount val="6"/>
                <c:pt idx="0">
                  <c:v>0.9989155772493381</c:v>
                </c:pt>
                <c:pt idx="1">
                  <c:v>1.9976631336662372</c:v>
                </c:pt>
                <c:pt idx="2">
                  <c:v>3.9938606374281456</c:v>
                </c:pt>
                <c:pt idx="3">
                  <c:v>7.9799702746107268</c:v>
                </c:pt>
                <c:pt idx="4">
                  <c:v>15.93552010499914</c:v>
                </c:pt>
                <c:pt idx="5">
                  <c:v>31.777323582726403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C-411F-A3BF-15EB12DFF6E6}"/>
            </c:ext>
          </c:extLst>
        </c:ser>
        <c:ser>
          <c:idx val="1"/>
          <c:order val="1"/>
          <c:tx>
            <c:v>Sleep(100)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(Legion!$H$4,Legion!$H$9,Legion!$H$14,Legion!$H$19,Legion!$H$24,Legion!$H$29)</c:f>
              <c:numCache>
                <c:formatCode>General</c:formatCode>
                <c:ptCount val="6"/>
                <c:pt idx="0">
                  <c:v>9.9325007116636748</c:v>
                </c:pt>
                <c:pt idx="1">
                  <c:v>19.857798306328384</c:v>
                </c:pt>
                <c:pt idx="2">
                  <c:v>39.595990232857091</c:v>
                </c:pt>
                <c:pt idx="3">
                  <c:v>79.057101758743812</c:v>
                </c:pt>
                <c:pt idx="4">
                  <c:v>157.32439966729822</c:v>
                </c:pt>
                <c:pt idx="5">
                  <c:v>310.12539047936372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C-411F-A3BF-15EB12DFF6E6}"/>
            </c:ext>
          </c:extLst>
        </c:ser>
        <c:ser>
          <c:idx val="2"/>
          <c:order val="2"/>
          <c:tx>
            <c:v>Sleep(10)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(Legion!$H$5,Legion!$H$10,Legion!$H$15,Legion!$H$20,Legion!$H$25,Legion!$H$30)</c:f>
              <c:numCache>
                <c:formatCode>General</c:formatCode>
                <c:ptCount val="6"/>
                <c:pt idx="0">
                  <c:v>94.148527775934028</c:v>
                </c:pt>
                <c:pt idx="1">
                  <c:v>187.28196282733958</c:v>
                </c:pt>
                <c:pt idx="2">
                  <c:v>370.6325585877417</c:v>
                </c:pt>
                <c:pt idx="3">
                  <c:v>720.15731116305039</c:v>
                </c:pt>
                <c:pt idx="4">
                  <c:v>1383.3124107331209</c:v>
                </c:pt>
                <c:pt idx="5">
                  <c:v>2411.3431995449796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C-411F-A3BF-15EB12DFF6E6}"/>
            </c:ext>
          </c:extLst>
        </c:ser>
        <c:ser>
          <c:idx val="3"/>
          <c:order val="3"/>
          <c:tx>
            <c:v>Sleep(1)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(Legion!$H$6,Legion!$H$11,Legion!$H$16,Legion!$H$21,Legion!$H$26,Legion!$H$31)</c:f>
              <c:numCache>
                <c:formatCode>General</c:formatCode>
                <c:ptCount val="6"/>
                <c:pt idx="0">
                  <c:v>575.74004185630099</c:v>
                </c:pt>
                <c:pt idx="1">
                  <c:v>1127.6181249052447</c:v>
                </c:pt>
                <c:pt idx="2">
                  <c:v>2132.3867810571337</c:v>
                </c:pt>
                <c:pt idx="3">
                  <c:v>3817.4369928445485</c:v>
                </c:pt>
                <c:pt idx="4">
                  <c:v>6185.0777037110429</c:v>
                </c:pt>
                <c:pt idx="5">
                  <c:v>8481.8296281918429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85C-411F-A3BF-15EB12DF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2693712"/>
        <c:axId val="-652688816"/>
        <c:extLst/>
      </c:lineChart>
      <c:catAx>
        <c:axId val="-6526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</a:t>
                </a:r>
                <a:r>
                  <a:rPr lang="fr-FR" baseline="0"/>
                  <a:t> nodes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688816"/>
        <c:crosses val="autoZero"/>
        <c:auto val="1"/>
        <c:lblAlgn val="ctr"/>
        <c:lblOffset val="100"/>
        <c:noMultiLvlLbl val="0"/>
      </c:catAx>
      <c:valAx>
        <c:axId val="-652688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Throughput (Task/s)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6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Legion Task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38810621102001"/>
          <c:y val="0.11915110356536503"/>
          <c:w val="0.63047845613209896"/>
          <c:h val="0.78507626699463928"/>
        </c:manualLayout>
      </c:layout>
      <c:lineChart>
        <c:grouping val="standard"/>
        <c:varyColors val="0"/>
        <c:ser>
          <c:idx val="0"/>
          <c:order val="0"/>
          <c:tx>
            <c:v>Sleep(1000)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(Legion!$J$3,Legion!$J$8,Legion!$J$13,Legion!$J$18,Legion!$J$23,Legion!$J$28)</c:f>
              <c:numCache>
                <c:formatCode>General</c:formatCode>
                <c:ptCount val="6"/>
                <c:pt idx="0">
                  <c:v>2.0021712000000003</c:v>
                </c:pt>
                <c:pt idx="1">
                  <c:v>2.0023396</c:v>
                </c:pt>
                <c:pt idx="2">
                  <c:v>2.0030744</c:v>
                </c:pt>
                <c:pt idx="3">
                  <c:v>2.00502</c:v>
                </c:pt>
                <c:pt idx="4">
                  <c:v>2.0080926000000003</c:v>
                </c:pt>
                <c:pt idx="5">
                  <c:v>2.0140148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A-4FF5-9365-1BE3418EFF03}"/>
            </c:ext>
          </c:extLst>
        </c:ser>
        <c:ser>
          <c:idx val="1"/>
          <c:order val="1"/>
          <c:tx>
            <c:v>Sleep(100)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(Legion!$J$4,Legion!$J$9,Legion!$J$14,Legion!$J$19,Legion!$J$24,Legion!$J$29)</c:f>
              <c:numCache>
                <c:formatCode>General</c:formatCode>
                <c:ptCount val="6"/>
                <c:pt idx="0">
                  <c:v>0.20135916000000001</c:v>
                </c:pt>
                <c:pt idx="1">
                  <c:v>0.20143220000000001</c:v>
                </c:pt>
                <c:pt idx="2">
                  <c:v>0.20204066000000001</c:v>
                </c:pt>
                <c:pt idx="3">
                  <c:v>0.20238535999999999</c:v>
                </c:pt>
                <c:pt idx="4">
                  <c:v>0.20340137999999999</c:v>
                </c:pt>
                <c:pt idx="5">
                  <c:v>0.20636814000000001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A-4FF5-9365-1BE3418EFF03}"/>
            </c:ext>
          </c:extLst>
        </c:ser>
        <c:ser>
          <c:idx val="2"/>
          <c:order val="2"/>
          <c:tx>
            <c:v>Sleep(10)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(Legion!$J$5,Legion!$J$10,Legion!$J$15,Legion!$J$20,Legion!$J$25,Legion!$J$30)</c:f>
              <c:numCache>
                <c:formatCode>General</c:formatCode>
                <c:ptCount val="6"/>
                <c:pt idx="0">
                  <c:v>2.124303E-2</c:v>
                </c:pt>
                <c:pt idx="1">
                  <c:v>2.1358170000000003E-2</c:v>
                </c:pt>
                <c:pt idx="2">
                  <c:v>2.1584720000000002E-2</c:v>
                </c:pt>
                <c:pt idx="3">
                  <c:v>2.2217368000000001E-2</c:v>
                </c:pt>
                <c:pt idx="4">
                  <c:v>2.3132880000000001E-2</c:v>
                </c:pt>
                <c:pt idx="5">
                  <c:v>2.6541223999999999E-2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A-4FF5-9365-1BE3418EFF03}"/>
            </c:ext>
          </c:extLst>
        </c:ser>
        <c:ser>
          <c:idx val="3"/>
          <c:order val="3"/>
          <c:tx>
            <c:v>Sleep(1)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('Charm++'!$A$3,'Charm++'!$A$8,'Charm++'!$A$13,'Charm++'!$A$18,'Charm++'!$A$23,'Charm++'!$A$28,'Charm++'!$A$33,'Charm++'!$A$38)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(Legion!$J$6,Legion!$J$11,Legion!$J$16,Legion!$J$21,Legion!$J$26,Legion!$J$31)</c:f>
              <c:numCache>
                <c:formatCode>General</c:formatCode>
                <c:ptCount val="6"/>
                <c:pt idx="0">
                  <c:v>3.4737900000000005E-3</c:v>
                </c:pt>
                <c:pt idx="1">
                  <c:v>3.5473002000000003E-3</c:v>
                </c:pt>
                <c:pt idx="2">
                  <c:v>3.7516646000000002E-3</c:v>
                </c:pt>
                <c:pt idx="3">
                  <c:v>4.1912937999999999E-3</c:v>
                </c:pt>
                <c:pt idx="4">
                  <c:v>5.1737425999999996E-3</c:v>
                </c:pt>
                <c:pt idx="5">
                  <c:v>7.5455417999999996E-3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A-4FF5-9365-1BE3418EF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2689904"/>
        <c:axId val="-652692624"/>
      </c:lineChart>
      <c:catAx>
        <c:axId val="-65268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nodes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692624"/>
        <c:crosses val="autoZero"/>
        <c:auto val="1"/>
        <c:lblAlgn val="ctr"/>
        <c:lblOffset val="100"/>
        <c:noMultiLvlLbl val="0"/>
      </c:catAx>
      <c:valAx>
        <c:axId val="-652692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Task Latecy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6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MATRIX</a:t>
            </a:r>
            <a:r>
              <a:rPr lang="fr-FR" baseline="0"/>
              <a:t> </a:t>
            </a:r>
            <a:r>
              <a:rPr lang="fr-FR"/>
              <a:t>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Sleep (1000)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cat>
            <c:numRef>
              <c:f>(Matrix!$A$3,Matrix!$A$8,Matrix!$A$13,Matrix!$A$18,Matrix!$A$23,Matrix!$A$28,Matrix!$A$33,Matrix!$A$38)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(Matrix!$H$3,Matrix!$H$8,Matrix!$H$13,Matrix!$H$18,Matrix!$H$23,Matrix!$H$28,Matrix!$H$33,Matrix!$H$38)</c:f>
              <c:numCache>
                <c:formatCode>General</c:formatCode>
                <c:ptCount val="8"/>
                <c:pt idx="0">
                  <c:v>1.9</c:v>
                </c:pt>
                <c:pt idx="1">
                  <c:v>3.77</c:v>
                </c:pt>
                <c:pt idx="2">
                  <c:v>7.54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119</c:v>
                </c:pt>
                <c:pt idx="7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7-4916-A779-902E84EB3438}"/>
            </c:ext>
          </c:extLst>
        </c:ser>
        <c:ser>
          <c:idx val="1"/>
          <c:order val="1"/>
          <c:tx>
            <c:v>Sleep(100)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>
                <a:noFill/>
              </a:ln>
            </c:spPr>
          </c:marker>
          <c:cat>
            <c:numRef>
              <c:f>(Matrix!$A$3,Matrix!$A$8,Matrix!$A$13,Matrix!$A$18,Matrix!$A$23,Matrix!$A$28,Matrix!$A$33,Matrix!$A$38)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(Matrix!$H$4,Matrix!$H$9,Matrix!$H$14,Matrix!$H$19,Matrix!$H$24,Matrix!$H$29,Matrix!$H$34,Matrix!$H$39)</c:f>
              <c:numCache>
                <c:formatCode>General</c:formatCode>
                <c:ptCount val="8"/>
                <c:pt idx="0">
                  <c:v>16.5</c:v>
                </c:pt>
                <c:pt idx="1">
                  <c:v>34</c:v>
                </c:pt>
                <c:pt idx="2">
                  <c:v>68</c:v>
                </c:pt>
                <c:pt idx="3">
                  <c:v>135</c:v>
                </c:pt>
                <c:pt idx="4">
                  <c:v>271</c:v>
                </c:pt>
                <c:pt idx="5">
                  <c:v>541</c:v>
                </c:pt>
                <c:pt idx="6">
                  <c:v>1065</c:v>
                </c:pt>
                <c:pt idx="7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7-4916-A779-902E84EB3438}"/>
            </c:ext>
          </c:extLst>
        </c:ser>
        <c:ser>
          <c:idx val="2"/>
          <c:order val="2"/>
          <c:tx>
            <c:v>Sleep(10)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val>
            <c:numRef>
              <c:f>(Matrix!$H$5,Matrix!$H$10,Matrix!$H$15,Matrix!$H$20,Matrix!$H$25,Matrix!$H$30,Matrix!$H$35,Matrix!$H$40)</c:f>
              <c:numCache>
                <c:formatCode>General</c:formatCode>
                <c:ptCount val="8"/>
                <c:pt idx="0">
                  <c:v>67.400000000000006</c:v>
                </c:pt>
                <c:pt idx="1">
                  <c:v>67</c:v>
                </c:pt>
                <c:pt idx="2">
                  <c:v>209</c:v>
                </c:pt>
                <c:pt idx="3">
                  <c:v>580</c:v>
                </c:pt>
                <c:pt idx="4">
                  <c:v>1159</c:v>
                </c:pt>
                <c:pt idx="5">
                  <c:v>2294</c:v>
                </c:pt>
                <c:pt idx="6">
                  <c:v>4256</c:v>
                </c:pt>
                <c:pt idx="7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7-4916-A779-902E84EB3438}"/>
            </c:ext>
          </c:extLst>
        </c:ser>
        <c:ser>
          <c:idx val="3"/>
          <c:order val="3"/>
          <c:tx>
            <c:v>Sleep(1)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ln>
                <a:noFill/>
              </a:ln>
            </c:spPr>
          </c:marker>
          <c:val>
            <c:numRef>
              <c:f>(Matrix!$H$6,Matrix!$H$11,Matrix!$H$16,Matrix!$H$21,Matrix!$H$26,Matrix!$H$31,Matrix!$H$36,Matrix!$H$41)</c:f>
              <c:numCache>
                <c:formatCode>General</c:formatCode>
                <c:ptCount val="8"/>
                <c:pt idx="0">
                  <c:v>94.5</c:v>
                </c:pt>
                <c:pt idx="1">
                  <c:v>204</c:v>
                </c:pt>
                <c:pt idx="2">
                  <c:v>290</c:v>
                </c:pt>
                <c:pt idx="3">
                  <c:v>834</c:v>
                </c:pt>
                <c:pt idx="4">
                  <c:v>1668</c:v>
                </c:pt>
                <c:pt idx="5">
                  <c:v>3333</c:v>
                </c:pt>
                <c:pt idx="6">
                  <c:v>6739</c:v>
                </c:pt>
                <c:pt idx="7">
                  <c:v>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7-4916-A779-902E84EB3438}"/>
            </c:ext>
          </c:extLst>
        </c:ser>
        <c:ser>
          <c:idx val="4"/>
          <c:order val="4"/>
          <c:tx>
            <c:v>Sleep(0)</c:v>
          </c:tx>
          <c:spPr>
            <a:ln w="28575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noFill/>
              </a:ln>
            </c:spPr>
          </c:marker>
          <c:val>
            <c:numRef>
              <c:f>(Matrix!$H$7,Matrix!$H$12,Matrix!$H$17,Matrix!$H$22,Matrix!$H$27,Matrix!$H$32,Matrix!$H$37,Matrix!$H$42)</c:f>
              <c:numCache>
                <c:formatCode>General</c:formatCode>
                <c:ptCount val="8"/>
                <c:pt idx="0">
                  <c:v>97.8</c:v>
                </c:pt>
                <c:pt idx="1">
                  <c:v>215</c:v>
                </c:pt>
                <c:pt idx="2">
                  <c:v>433</c:v>
                </c:pt>
                <c:pt idx="3">
                  <c:v>857</c:v>
                </c:pt>
                <c:pt idx="4">
                  <c:v>1722</c:v>
                </c:pt>
                <c:pt idx="5">
                  <c:v>3448</c:v>
                </c:pt>
                <c:pt idx="6">
                  <c:v>6969</c:v>
                </c:pt>
                <c:pt idx="7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97-4916-A779-902E84EB3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2690448"/>
        <c:axId val="-652014448"/>
      </c:lineChart>
      <c:catAx>
        <c:axId val="-65269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</a:t>
                </a:r>
                <a:r>
                  <a:rPr lang="fr-FR" baseline="0"/>
                  <a:t> nodes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014448"/>
        <c:crosses val="autoZero"/>
        <c:auto val="1"/>
        <c:lblAlgn val="ctr"/>
        <c:lblOffset val="100"/>
        <c:noMultiLvlLbl val="0"/>
      </c:catAx>
      <c:valAx>
        <c:axId val="-65201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Throughput (Tasks/s)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6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400050</xdr:colOff>
      <xdr:row>29</xdr:row>
      <xdr:rowOff>161925</xdr:rowOff>
    </xdr:from>
    <xdr:to>
      <xdr:col>31</xdr:col>
      <xdr:colOff>152400</xdr:colOff>
      <xdr:row>49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30</xdr:row>
      <xdr:rowOff>28575</xdr:rowOff>
    </xdr:from>
    <xdr:to>
      <xdr:col>20</xdr:col>
      <xdr:colOff>276225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0</xdr:row>
      <xdr:rowOff>304800</xdr:rowOff>
    </xdr:from>
    <xdr:to>
      <xdr:col>20</xdr:col>
      <xdr:colOff>238125</xdr:colOff>
      <xdr:row>15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15</xdr:row>
      <xdr:rowOff>114300</xdr:rowOff>
    </xdr:from>
    <xdr:to>
      <xdr:col>20</xdr:col>
      <xdr:colOff>266700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304800</xdr:rowOff>
    </xdr:from>
    <xdr:to>
      <xdr:col>20</xdr:col>
      <xdr:colOff>552450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16</xdr:row>
      <xdr:rowOff>142875</xdr:rowOff>
    </xdr:from>
    <xdr:to>
      <xdr:col>21</xdr:col>
      <xdr:colOff>104775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21</xdr:col>
      <xdr:colOff>390525</xdr:colOff>
      <xdr:row>54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32</xdr:col>
      <xdr:colOff>257175</xdr:colOff>
      <xdr:row>22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43</xdr:row>
      <xdr:rowOff>66675</xdr:rowOff>
    </xdr:from>
    <xdr:to>
      <xdr:col>4</xdr:col>
      <xdr:colOff>857250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43</xdr:row>
      <xdr:rowOff>85725</xdr:rowOff>
    </xdr:from>
    <xdr:to>
      <xdr:col>21</xdr:col>
      <xdr:colOff>266700</xdr:colOff>
      <xdr:row>63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43</xdr:row>
      <xdr:rowOff>66675</xdr:rowOff>
    </xdr:from>
    <xdr:to>
      <xdr:col>4</xdr:col>
      <xdr:colOff>857250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43</xdr:row>
      <xdr:rowOff>28575</xdr:rowOff>
    </xdr:from>
    <xdr:to>
      <xdr:col>21</xdr:col>
      <xdr:colOff>180975</xdr:colOff>
      <xdr:row>64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44</xdr:row>
      <xdr:rowOff>66675</xdr:rowOff>
    </xdr:from>
    <xdr:to>
      <xdr:col>4</xdr:col>
      <xdr:colOff>180975</xdr:colOff>
      <xdr:row>58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44</xdr:row>
      <xdr:rowOff>76200</xdr:rowOff>
    </xdr:from>
    <xdr:to>
      <xdr:col>7</xdr:col>
      <xdr:colOff>1771650</xdr:colOff>
      <xdr:row>58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1866900</xdr:colOff>
      <xdr:row>44</xdr:row>
      <xdr:rowOff>76200</xdr:rowOff>
    </xdr:from>
    <xdr:to>
      <xdr:col>11</xdr:col>
      <xdr:colOff>142875</xdr:colOff>
      <xdr:row>58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66675</xdr:rowOff>
    </xdr:from>
    <xdr:to>
      <xdr:col>4</xdr:col>
      <xdr:colOff>133350</xdr:colOff>
      <xdr:row>73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H1" zoomScale="70" zoomScaleNormal="70" workbookViewId="0">
      <selection activeCell="Y19" sqref="Y19"/>
    </sheetView>
  </sheetViews>
  <sheetFormatPr defaultRowHeight="14.45"/>
  <cols>
    <col min="1" max="1" width="13.7109375" customWidth="1"/>
    <col min="2" max="3" width="18.28515625" customWidth="1"/>
    <col min="4" max="4" width="18.42578125" customWidth="1"/>
    <col min="5" max="5" width="14.28515625" customWidth="1"/>
    <col min="6" max="6" width="18.7109375" customWidth="1"/>
    <col min="7" max="7" width="13.42578125" customWidth="1"/>
    <col min="8" max="8" width="18.7109375" customWidth="1"/>
    <col min="9" max="9" width="18.7109375" style="3" customWidth="1"/>
    <col min="10" max="10" width="17.42578125" customWidth="1"/>
  </cols>
  <sheetData>
    <row r="1" spans="1:10" ht="26.1">
      <c r="A1" s="19" t="s">
        <v>0</v>
      </c>
      <c r="B1" s="19"/>
      <c r="C1" s="3"/>
      <c r="D1" s="3"/>
      <c r="E1" s="3"/>
      <c r="F1" s="3"/>
      <c r="G1" s="3"/>
      <c r="H1" s="3"/>
      <c r="J1" s="3"/>
    </row>
    <row r="2" spans="1:10" ht="1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8" t="s">
        <v>7</v>
      </c>
      <c r="H2" s="16" t="s">
        <v>8</v>
      </c>
      <c r="I2" s="16" t="s">
        <v>9</v>
      </c>
      <c r="J2" s="17" t="s">
        <v>10</v>
      </c>
    </row>
    <row r="3" spans="1:10" ht="15">
      <c r="A3" s="4">
        <v>1</v>
      </c>
      <c r="B3" s="5">
        <v>1000</v>
      </c>
      <c r="C3" s="5">
        <v>100</v>
      </c>
      <c r="D3" s="5">
        <v>2</v>
      </c>
      <c r="E3" s="5">
        <v>100.000793</v>
      </c>
      <c r="F3" s="5">
        <f>99.993981/C3</f>
        <v>0.9999398100000001</v>
      </c>
      <c r="G3" s="5">
        <f>(B3*C3/A3)/(E3*1000)</f>
        <v>0.99999207006288438</v>
      </c>
      <c r="H3" s="5">
        <f t="shared" ref="H3:H42" si="0">C3/E3</f>
        <v>0.99999207006288438</v>
      </c>
      <c r="I3" s="5">
        <f>A3/(B3/1000)</f>
        <v>1</v>
      </c>
      <c r="J3" s="6">
        <f>(1/H3)/D3</f>
        <v>0.50000396499999999</v>
      </c>
    </row>
    <row r="4" spans="1:10" ht="15">
      <c r="A4" s="4">
        <v>1</v>
      </c>
      <c r="B4" s="5">
        <v>100</v>
      </c>
      <c r="C4" s="5">
        <v>1000</v>
      </c>
      <c r="D4" s="5">
        <v>2</v>
      </c>
      <c r="E4" s="5">
        <v>100.000773</v>
      </c>
      <c r="F4" s="5">
        <f>99.973248/C4</f>
        <v>9.9973248000000001E-2</v>
      </c>
      <c r="G4" s="5">
        <f t="shared" ref="G4:G6" si="1">(B4*C4/A4)/(E4*1000)</f>
        <v>0.99999227005975244</v>
      </c>
      <c r="H4" s="5">
        <f t="shared" si="0"/>
        <v>9.9999227005975246</v>
      </c>
      <c r="I4" s="5">
        <f t="shared" ref="I4:I41" si="2">A4/(B4/1000)</f>
        <v>10</v>
      </c>
      <c r="J4" s="6">
        <f t="shared" ref="J4:J42" si="3">(1/H4)/D4</f>
        <v>5.0000386500000001E-2</v>
      </c>
    </row>
    <row r="5" spans="1:10" ht="15">
      <c r="A5" s="4">
        <v>1</v>
      </c>
      <c r="B5" s="5">
        <v>10</v>
      </c>
      <c r="C5" s="5">
        <v>10000</v>
      </c>
      <c r="D5" s="5">
        <v>2</v>
      </c>
      <c r="E5" s="5">
        <v>101.32985600000001</v>
      </c>
      <c r="F5" s="5">
        <f>101.139571/C5</f>
        <v>1.0113957100000001E-2</v>
      </c>
      <c r="G5" s="5">
        <f t="shared" si="1"/>
        <v>0.98687597069120481</v>
      </c>
      <c r="H5" s="5">
        <f t="shared" si="0"/>
        <v>98.687597069120471</v>
      </c>
      <c r="I5" s="5">
        <f t="shared" si="2"/>
        <v>100</v>
      </c>
      <c r="J5" s="6">
        <f t="shared" si="3"/>
        <v>5.0664928E-3</v>
      </c>
    </row>
    <row r="6" spans="1:10" ht="15">
      <c r="A6" s="4">
        <v>1</v>
      </c>
      <c r="B6" s="5">
        <v>1</v>
      </c>
      <c r="C6" s="5">
        <v>100000</v>
      </c>
      <c r="D6" s="5">
        <v>2</v>
      </c>
      <c r="E6" s="5">
        <v>56.664461000000003</v>
      </c>
      <c r="F6" s="5">
        <f>111.631566/C6</f>
        <v>1.1163156600000001E-3</v>
      </c>
      <c r="G6" s="5">
        <f t="shared" si="1"/>
        <v>1.7647745736079621</v>
      </c>
      <c r="H6" s="5">
        <f t="shared" si="0"/>
        <v>1764.7745736079621</v>
      </c>
      <c r="I6" s="5">
        <f t="shared" si="2"/>
        <v>1000</v>
      </c>
      <c r="J6" s="6">
        <f t="shared" si="3"/>
        <v>2.83322305E-4</v>
      </c>
    </row>
    <row r="7" spans="1:10" ht="15">
      <c r="A7" s="7">
        <v>1</v>
      </c>
      <c r="B7" s="8">
        <v>0</v>
      </c>
      <c r="C7" s="8">
        <v>100000</v>
      </c>
      <c r="D7" s="8">
        <v>2</v>
      </c>
      <c r="E7" s="8">
        <v>9.1862010000000005</v>
      </c>
      <c r="F7" s="8">
        <f>16.667483/C7</f>
        <v>1.6667483E-4</v>
      </c>
      <c r="G7" s="8"/>
      <c r="H7" s="8">
        <f t="shared" si="0"/>
        <v>10885.892873452256</v>
      </c>
      <c r="I7" s="5"/>
      <c r="J7" s="6">
        <f t="shared" si="3"/>
        <v>4.5931005000000005E-5</v>
      </c>
    </row>
    <row r="8" spans="1:10" ht="15">
      <c r="A8" s="4">
        <v>2</v>
      </c>
      <c r="B8" s="5">
        <v>1000</v>
      </c>
      <c r="C8" s="5">
        <v>200</v>
      </c>
      <c r="D8" s="5">
        <v>4</v>
      </c>
      <c r="E8" s="5">
        <v>100.000777</v>
      </c>
      <c r="F8" s="5">
        <f>199.986585/C8</f>
        <v>0.99993292499999997</v>
      </c>
      <c r="G8" s="5">
        <f>(B8*C8/A8)/(E8*1000)</f>
        <v>0.99999223006037241</v>
      </c>
      <c r="H8" s="5">
        <f t="shared" si="0"/>
        <v>1.9999844601207448</v>
      </c>
      <c r="I8" s="5">
        <f t="shared" si="2"/>
        <v>2</v>
      </c>
      <c r="J8" s="6">
        <f t="shared" si="3"/>
        <v>0.12500097125000001</v>
      </c>
    </row>
    <row r="9" spans="1:10" ht="15">
      <c r="A9" s="4">
        <v>2</v>
      </c>
      <c r="B9" s="5">
        <v>100</v>
      </c>
      <c r="C9" s="5">
        <v>2000</v>
      </c>
      <c r="D9" s="5">
        <v>4</v>
      </c>
      <c r="E9" s="5">
        <v>100.00082</v>
      </c>
      <c r="F9" s="5">
        <f>199.938942/C9</f>
        <v>9.9969471000000004E-2</v>
      </c>
      <c r="G9" s="5">
        <f t="shared" ref="G9:G11" si="4">(B9*C9/A9)/(E9*1000)</f>
        <v>0.99999180006723942</v>
      </c>
      <c r="H9" s="5">
        <f t="shared" si="0"/>
        <v>19.999836001344789</v>
      </c>
      <c r="I9" s="5">
        <f t="shared" si="2"/>
        <v>20</v>
      </c>
      <c r="J9" s="6">
        <f t="shared" si="3"/>
        <v>1.2500102500000001E-2</v>
      </c>
    </row>
    <row r="10" spans="1:10" ht="15">
      <c r="A10" s="4">
        <v>2</v>
      </c>
      <c r="B10" s="5">
        <v>10</v>
      </c>
      <c r="C10" s="5">
        <v>20000</v>
      </c>
      <c r="D10" s="5">
        <v>4</v>
      </c>
      <c r="E10" s="5">
        <v>101.340384</v>
      </c>
      <c r="F10" s="5">
        <f>202.213655/C10</f>
        <v>1.0110682749999999E-2</v>
      </c>
      <c r="G10" s="5">
        <f t="shared" si="4"/>
        <v>0.98677344660545196</v>
      </c>
      <c r="H10" s="5">
        <f t="shared" si="0"/>
        <v>197.3546893210904</v>
      </c>
      <c r="I10" s="5">
        <f t="shared" si="2"/>
        <v>200</v>
      </c>
      <c r="J10" s="6">
        <f t="shared" si="3"/>
        <v>1.2667548E-3</v>
      </c>
    </row>
    <row r="11" spans="1:10" ht="15">
      <c r="A11" s="4">
        <v>2</v>
      </c>
      <c r="B11" s="5">
        <v>1</v>
      </c>
      <c r="C11" s="5">
        <v>200000</v>
      </c>
      <c r="D11" s="5">
        <v>4</v>
      </c>
      <c r="E11" s="5">
        <v>57.971502000000001</v>
      </c>
      <c r="F11" s="5">
        <f>223.271043/C11</f>
        <v>1.1163552149999999E-3</v>
      </c>
      <c r="G11" s="5">
        <f t="shared" si="4"/>
        <v>1.7249854937344904</v>
      </c>
      <c r="H11" s="5">
        <f t="shared" si="0"/>
        <v>3449.9709874689806</v>
      </c>
      <c r="I11" s="5">
        <f t="shared" si="2"/>
        <v>2000</v>
      </c>
      <c r="J11" s="6">
        <f t="shared" si="3"/>
        <v>7.2464377499999999E-5</v>
      </c>
    </row>
    <row r="12" spans="1:10" ht="15">
      <c r="A12" s="7">
        <v>2</v>
      </c>
      <c r="B12" s="8">
        <v>0</v>
      </c>
      <c r="C12" s="8">
        <v>200000</v>
      </c>
      <c r="D12" s="8">
        <v>4</v>
      </c>
      <c r="E12" s="8">
        <v>10.389734000000001</v>
      </c>
      <c r="F12" s="8">
        <f>33.3958/C12</f>
        <v>1.6697900000000002E-4</v>
      </c>
      <c r="G12" s="8"/>
      <c r="H12" s="8">
        <f t="shared" si="0"/>
        <v>19249.770975849813</v>
      </c>
      <c r="I12" s="5"/>
      <c r="J12" s="6">
        <f t="shared" si="3"/>
        <v>1.2987167500000001E-5</v>
      </c>
    </row>
    <row r="13" spans="1:10" ht="15">
      <c r="A13" s="4">
        <v>4</v>
      </c>
      <c r="B13" s="5">
        <v>1000</v>
      </c>
      <c r="C13" s="5">
        <v>400</v>
      </c>
      <c r="D13" s="5">
        <v>8</v>
      </c>
      <c r="E13" s="5">
        <v>100.000894</v>
      </c>
      <c r="F13" s="5">
        <f>397.977058/C13</f>
        <v>0.99494264499999996</v>
      </c>
      <c r="G13" s="5">
        <f>(B13*C13/A13)/(E13*1000)</f>
        <v>0.99999106007992289</v>
      </c>
      <c r="H13" s="5">
        <f t="shared" si="0"/>
        <v>3.9999642403196916</v>
      </c>
      <c r="I13" s="5">
        <f t="shared" si="2"/>
        <v>4</v>
      </c>
      <c r="J13" s="6">
        <f t="shared" si="3"/>
        <v>3.1250279375000002E-2</v>
      </c>
    </row>
    <row r="14" spans="1:10" ht="15">
      <c r="A14" s="4">
        <v>4</v>
      </c>
      <c r="B14" s="5">
        <v>100</v>
      </c>
      <c r="C14" s="5">
        <v>4000</v>
      </c>
      <c r="D14" s="5">
        <v>8</v>
      </c>
      <c r="E14" s="5">
        <v>100.00405499999999</v>
      </c>
      <c r="F14" s="5">
        <f>399.88187/C14</f>
        <v>9.9970467499999993E-2</v>
      </c>
      <c r="G14" s="5">
        <f t="shared" ref="G14:G16" si="5">(B14*C14/A14)/(E14*1000)</f>
        <v>0.99995945164423594</v>
      </c>
      <c r="H14" s="5">
        <f t="shared" si="0"/>
        <v>39.998378065769437</v>
      </c>
      <c r="I14" s="5">
        <f t="shared" si="2"/>
        <v>40</v>
      </c>
      <c r="J14" s="6">
        <f t="shared" si="3"/>
        <v>3.1251267187499998E-3</v>
      </c>
    </row>
    <row r="15" spans="1:10" ht="15">
      <c r="A15" s="4">
        <v>4</v>
      </c>
      <c r="B15" s="5">
        <v>10</v>
      </c>
      <c r="C15" s="5">
        <v>40000</v>
      </c>
      <c r="D15" s="5">
        <v>8</v>
      </c>
      <c r="E15" s="5">
        <v>101.340676</v>
      </c>
      <c r="F15" s="5">
        <f>404.487431/C15</f>
        <v>1.0112185775000001E-2</v>
      </c>
      <c r="G15" s="5">
        <f t="shared" si="5"/>
        <v>0.9867706033458864</v>
      </c>
      <c r="H15" s="5">
        <f t="shared" si="0"/>
        <v>394.70824133835458</v>
      </c>
      <c r="I15" s="5">
        <f t="shared" si="2"/>
        <v>400</v>
      </c>
      <c r="J15" s="6">
        <f t="shared" si="3"/>
        <v>3.1668961250000004E-4</v>
      </c>
    </row>
    <row r="16" spans="1:10" ht="15">
      <c r="A16" s="4">
        <v>4</v>
      </c>
      <c r="B16" s="5">
        <v>1</v>
      </c>
      <c r="C16" s="5">
        <v>400000</v>
      </c>
      <c r="D16" s="5">
        <v>8</v>
      </c>
      <c r="E16" s="5">
        <v>61.635672999999997</v>
      </c>
      <c r="F16" s="5">
        <f>447.100883/C16</f>
        <v>1.1177522075000001E-3</v>
      </c>
      <c r="G16" s="5">
        <f t="shared" si="5"/>
        <v>1.6224370584872174</v>
      </c>
      <c r="H16" s="5">
        <f t="shared" si="0"/>
        <v>6489.7482339488697</v>
      </c>
      <c r="I16" s="5">
        <f t="shared" si="2"/>
        <v>4000</v>
      </c>
      <c r="J16" s="6">
        <f t="shared" si="3"/>
        <v>1.92611478125E-5</v>
      </c>
    </row>
    <row r="17" spans="1:10" ht="15">
      <c r="A17" s="7">
        <v>4</v>
      </c>
      <c r="B17" s="8">
        <v>0</v>
      </c>
      <c r="C17" s="8">
        <v>400000</v>
      </c>
      <c r="D17" s="8">
        <v>8</v>
      </c>
      <c r="E17" s="8">
        <v>14.116944</v>
      </c>
      <c r="F17" s="8">
        <f>68.385605/C17</f>
        <v>1.7096401249999999E-4</v>
      </c>
      <c r="G17" s="8"/>
      <c r="H17" s="8">
        <f t="shared" si="0"/>
        <v>28334.744403604633</v>
      </c>
      <c r="I17" s="5"/>
      <c r="J17" s="6">
        <f t="shared" si="3"/>
        <v>4.4115449999999998E-6</v>
      </c>
    </row>
    <row r="18" spans="1:10" ht="15">
      <c r="A18" s="4">
        <v>8</v>
      </c>
      <c r="B18" s="5">
        <v>1000</v>
      </c>
      <c r="C18" s="5">
        <v>800</v>
      </c>
      <c r="D18" s="5">
        <v>16</v>
      </c>
      <c r="E18" s="5">
        <v>100.002456</v>
      </c>
      <c r="F18" s="5">
        <f>797.940939/C18</f>
        <v>0.99742617374999998</v>
      </c>
      <c r="G18" s="5">
        <f>(B18*C18/A18)/(E18*1000)</f>
        <v>0.99997544060317889</v>
      </c>
      <c r="H18" s="5">
        <f t="shared" si="0"/>
        <v>7.9998035248254311</v>
      </c>
      <c r="I18" s="5">
        <f t="shared" si="2"/>
        <v>8</v>
      </c>
      <c r="J18" s="6">
        <f t="shared" si="3"/>
        <v>7.8126918749999996E-3</v>
      </c>
    </row>
    <row r="19" spans="1:10" ht="15">
      <c r="A19" s="4">
        <v>8</v>
      </c>
      <c r="B19" s="5">
        <v>100</v>
      </c>
      <c r="C19" s="5">
        <v>8000</v>
      </c>
      <c r="D19" s="5">
        <v>16</v>
      </c>
      <c r="E19" s="5">
        <v>100.00412300000001</v>
      </c>
      <c r="F19" s="5">
        <f>799.713646/C19</f>
        <v>9.9964205750000007E-2</v>
      </c>
      <c r="G19" s="5">
        <f t="shared" ref="G19:G21" si="6">(B19*C19/A19)/(E19*1000)</f>
        <v>0.99995877169984271</v>
      </c>
      <c r="H19" s="5">
        <f t="shared" si="0"/>
        <v>79.996701735987415</v>
      </c>
      <c r="I19" s="5">
        <f t="shared" si="2"/>
        <v>80</v>
      </c>
      <c r="J19" s="6">
        <f t="shared" si="3"/>
        <v>7.8128221093750011E-4</v>
      </c>
    </row>
    <row r="20" spans="1:10" ht="15">
      <c r="A20" s="4">
        <v>8</v>
      </c>
      <c r="B20" s="5">
        <v>10</v>
      </c>
      <c r="C20" s="5">
        <v>80000</v>
      </c>
      <c r="D20" s="5">
        <v>16</v>
      </c>
      <c r="E20" s="5">
        <v>101.340718</v>
      </c>
      <c r="F20" s="5">
        <f>808.920138001/C20</f>
        <v>1.01115017250125E-2</v>
      </c>
      <c r="G20" s="5">
        <f t="shared" si="6"/>
        <v>0.98677019438524216</v>
      </c>
      <c r="H20" s="5">
        <f t="shared" si="0"/>
        <v>789.4161555081937</v>
      </c>
      <c r="I20" s="5">
        <f t="shared" si="2"/>
        <v>800</v>
      </c>
      <c r="J20" s="6">
        <f t="shared" si="3"/>
        <v>7.91724359375E-5</v>
      </c>
    </row>
    <row r="21" spans="1:10" ht="15">
      <c r="A21" s="4">
        <v>8</v>
      </c>
      <c r="B21" s="5">
        <v>1</v>
      </c>
      <c r="C21" s="5">
        <v>800000</v>
      </c>
      <c r="D21" s="5">
        <v>16</v>
      </c>
      <c r="E21" s="5">
        <v>134.65231900000001</v>
      </c>
      <c r="F21" s="5">
        <f>893.488043008/C21</f>
        <v>1.11686005376E-3</v>
      </c>
      <c r="G21" s="5">
        <f t="shared" si="6"/>
        <v>0.7426533812611128</v>
      </c>
      <c r="H21" s="5">
        <f t="shared" si="0"/>
        <v>5941.2270500889035</v>
      </c>
      <c r="I21" s="5">
        <f t="shared" si="2"/>
        <v>8000</v>
      </c>
      <c r="J21" s="6">
        <f t="shared" si="3"/>
        <v>1.0519712421875E-5</v>
      </c>
    </row>
    <row r="22" spans="1:10" ht="15">
      <c r="A22" s="7">
        <v>8</v>
      </c>
      <c r="B22" s="8">
        <v>0</v>
      </c>
      <c r="C22" s="8">
        <v>800000</v>
      </c>
      <c r="D22" s="8">
        <v>16</v>
      </c>
      <c r="E22" s="8">
        <v>20.811076</v>
      </c>
      <c r="F22" s="8">
        <f>134.652319/C22</f>
        <v>1.6831539875E-4</v>
      </c>
      <c r="G22" s="8"/>
      <c r="H22" s="8">
        <f t="shared" si="0"/>
        <v>38441.068592512951</v>
      </c>
      <c r="I22" s="5"/>
      <c r="J22" s="6">
        <f t="shared" si="3"/>
        <v>1.6258653124999999E-6</v>
      </c>
    </row>
    <row r="23" spans="1:10" ht="15">
      <c r="A23" s="4">
        <v>16</v>
      </c>
      <c r="B23" s="5">
        <v>1000</v>
      </c>
      <c r="C23" s="5">
        <v>1600</v>
      </c>
      <c r="D23" s="5">
        <v>32</v>
      </c>
      <c r="E23" s="5">
        <v>100.00442</v>
      </c>
      <c r="F23" s="5">
        <f>1591.894181/C23</f>
        <v>0.99493386312499998</v>
      </c>
      <c r="G23" s="5">
        <f>(B23*C23/A23)/(E23*1000)</f>
        <v>0.99995580195355371</v>
      </c>
      <c r="H23" s="5">
        <f t="shared" si="0"/>
        <v>15.999292831256859</v>
      </c>
      <c r="I23" s="5">
        <f t="shared" si="2"/>
        <v>16</v>
      </c>
      <c r="J23" s="6">
        <f t="shared" si="3"/>
        <v>1.9532113281250001E-3</v>
      </c>
    </row>
    <row r="24" spans="1:10" ht="15">
      <c r="A24" s="4">
        <v>16</v>
      </c>
      <c r="B24" s="5">
        <v>100</v>
      </c>
      <c r="C24" s="5">
        <v>16000</v>
      </c>
      <c r="D24" s="5">
        <v>32</v>
      </c>
      <c r="E24" s="5">
        <v>100.00563699999999</v>
      </c>
      <c r="F24" s="5">
        <f>1599.099491/C24</f>
        <v>9.9943718187500002E-2</v>
      </c>
      <c r="G24" s="5">
        <f t="shared" ref="G24:G26" si="7">(B24*C24/A24)/(E24*1000)</f>
        <v>0.99994363317739787</v>
      </c>
      <c r="H24" s="5">
        <f t="shared" si="0"/>
        <v>159.99098130838365</v>
      </c>
      <c r="I24" s="5">
        <f t="shared" si="2"/>
        <v>160</v>
      </c>
      <c r="J24" s="6">
        <f t="shared" si="3"/>
        <v>1.9532350976562499E-4</v>
      </c>
    </row>
    <row r="25" spans="1:10" ht="15">
      <c r="A25" s="4">
        <v>16</v>
      </c>
      <c r="B25" s="5">
        <v>10</v>
      </c>
      <c r="C25" s="5">
        <v>160000</v>
      </c>
      <c r="D25" s="5">
        <v>32</v>
      </c>
      <c r="E25" s="5">
        <v>101.365846</v>
      </c>
      <c r="F25" s="5">
        <f>1617.968464/C25</f>
        <v>1.01123029E-2</v>
      </c>
      <c r="G25" s="5">
        <f t="shared" si="7"/>
        <v>0.98652557982892974</v>
      </c>
      <c r="H25" s="5">
        <f t="shared" si="0"/>
        <v>1578.4409277262876</v>
      </c>
      <c r="I25" s="5">
        <f t="shared" si="2"/>
        <v>1600</v>
      </c>
      <c r="J25" s="6">
        <f t="shared" si="3"/>
        <v>1.9798016796875E-5</v>
      </c>
    </row>
    <row r="26" spans="1:10" ht="15">
      <c r="A26" s="4">
        <v>16</v>
      </c>
      <c r="B26" s="5">
        <v>1</v>
      </c>
      <c r="C26" s="5">
        <v>1600000</v>
      </c>
      <c r="D26" s="5">
        <v>32</v>
      </c>
      <c r="E26" s="5">
        <v>80.509838999999999</v>
      </c>
      <c r="F26" s="5">
        <f>1785.79465699/C26</f>
        <v>1.1161216606187501E-3</v>
      </c>
      <c r="G26" s="5">
        <f t="shared" si="7"/>
        <v>1.2420842128376386</v>
      </c>
      <c r="H26" s="5">
        <f t="shared" si="0"/>
        <v>19873.347405402215</v>
      </c>
      <c r="I26" s="5">
        <f t="shared" si="2"/>
        <v>16000</v>
      </c>
      <c r="J26" s="6">
        <f t="shared" si="3"/>
        <v>1.5724577929687499E-6</v>
      </c>
    </row>
    <row r="27" spans="1:10" ht="15">
      <c r="A27" s="7">
        <v>16</v>
      </c>
      <c r="B27" s="8">
        <v>0</v>
      </c>
      <c r="C27" s="8">
        <v>1600000</v>
      </c>
      <c r="D27" s="8">
        <v>32</v>
      </c>
      <c r="E27" s="8">
        <v>32.789174000000003</v>
      </c>
      <c r="F27" s="8">
        <f>267.522038003/C27</f>
        <v>1.67201273751875E-4</v>
      </c>
      <c r="G27" s="8"/>
      <c r="H27" s="8">
        <f t="shared" si="0"/>
        <v>48796.59365618664</v>
      </c>
      <c r="I27" s="5"/>
      <c r="J27" s="6">
        <f t="shared" si="3"/>
        <v>6.4041355468749999E-7</v>
      </c>
    </row>
    <row r="28" spans="1:10" ht="15">
      <c r="A28" s="4">
        <v>32</v>
      </c>
      <c r="B28" s="5">
        <v>1000</v>
      </c>
      <c r="C28" s="5">
        <v>3200</v>
      </c>
      <c r="D28" s="5">
        <v>64</v>
      </c>
      <c r="E28" s="5">
        <v>100.004532</v>
      </c>
      <c r="F28" s="5">
        <f>3184.782771/C28</f>
        <v>0.99524461593750002</v>
      </c>
      <c r="G28" s="5">
        <f>(B28*C28/A28)/(E28*1000)</f>
        <v>0.99995468205380944</v>
      </c>
      <c r="H28" s="5">
        <f t="shared" si="0"/>
        <v>31.998549825721899</v>
      </c>
      <c r="I28" s="5">
        <f t="shared" si="2"/>
        <v>32</v>
      </c>
      <c r="J28" s="6">
        <f t="shared" si="3"/>
        <v>4.8830337890624995E-4</v>
      </c>
    </row>
    <row r="29" spans="1:10" ht="15">
      <c r="A29" s="4">
        <v>32</v>
      </c>
      <c r="B29" s="5">
        <v>100</v>
      </c>
      <c r="C29" s="5">
        <v>32000</v>
      </c>
      <c r="D29" s="5">
        <v>64</v>
      </c>
      <c r="E29" s="5">
        <v>100.006012</v>
      </c>
      <c r="F29" s="5">
        <f>3198.674247/C29</f>
        <v>9.9958570218750001E-2</v>
      </c>
      <c r="G29" s="5">
        <f t="shared" ref="G29:G31" si="8">(B29*C29/A29)/(E29*1000)</f>
        <v>0.99993988361419706</v>
      </c>
      <c r="H29" s="5">
        <f t="shared" si="0"/>
        <v>319.98076275654307</v>
      </c>
      <c r="I29" s="5">
        <f t="shared" si="2"/>
        <v>320</v>
      </c>
      <c r="J29" s="6">
        <f t="shared" si="3"/>
        <v>4.8831060546875003E-5</v>
      </c>
    </row>
    <row r="30" spans="1:10" ht="15">
      <c r="A30" s="4">
        <v>32</v>
      </c>
      <c r="B30" s="5">
        <v>10</v>
      </c>
      <c r="C30" s="5">
        <v>320000</v>
      </c>
      <c r="D30" s="5">
        <v>64</v>
      </c>
      <c r="E30" s="5">
        <v>101.382154</v>
      </c>
      <c r="F30" s="5">
        <f>3236.328927/C30</f>
        <v>1.0113527896875E-2</v>
      </c>
      <c r="G30" s="5">
        <f t="shared" si="8"/>
        <v>0.98636689056734783</v>
      </c>
      <c r="H30" s="5">
        <f t="shared" si="0"/>
        <v>3156.374049815513</v>
      </c>
      <c r="I30" s="5">
        <f t="shared" si="2"/>
        <v>3200</v>
      </c>
      <c r="J30" s="6">
        <f t="shared" si="3"/>
        <v>4.9503004882812496E-6</v>
      </c>
    </row>
    <row r="31" spans="1:10" ht="15">
      <c r="A31" s="4">
        <v>32</v>
      </c>
      <c r="B31" s="5">
        <v>1</v>
      </c>
      <c r="C31" s="5">
        <v>3200000</v>
      </c>
      <c r="D31" s="5">
        <v>64</v>
      </c>
      <c r="E31" s="5">
        <v>102.535066</v>
      </c>
      <c r="F31" s="5">
        <f>3571.98906294/C31</f>
        <v>1.11624658216875E-3</v>
      </c>
      <c r="G31" s="5">
        <f t="shared" si="8"/>
        <v>0.97527610700518785</v>
      </c>
      <c r="H31" s="5">
        <f t="shared" si="0"/>
        <v>31208.835424166013</v>
      </c>
      <c r="I31" s="5">
        <f t="shared" si="2"/>
        <v>32000</v>
      </c>
      <c r="J31" s="6">
        <f t="shared" si="3"/>
        <v>5.0065950195312496E-7</v>
      </c>
    </row>
    <row r="32" spans="1:10" ht="15">
      <c r="A32" s="7">
        <v>32</v>
      </c>
      <c r="B32" s="8">
        <v>0</v>
      </c>
      <c r="C32" s="8">
        <v>3200000</v>
      </c>
      <c r="D32" s="8">
        <v>64</v>
      </c>
      <c r="E32" s="8">
        <v>54.864392000000002</v>
      </c>
      <c r="F32" s="8">
        <f>534.234962981/C32</f>
        <v>1.669484259315625E-4</v>
      </c>
      <c r="G32" s="8"/>
      <c r="H32" s="8">
        <f t="shared" si="0"/>
        <v>58325.625844901369</v>
      </c>
      <c r="I32" s="5"/>
      <c r="J32" s="6">
        <f t="shared" si="3"/>
        <v>2.6789253906250002E-7</v>
      </c>
    </row>
    <row r="33" spans="1:10" ht="15">
      <c r="A33" s="4">
        <v>64</v>
      </c>
      <c r="B33" s="5">
        <v>1000</v>
      </c>
      <c r="C33" s="5">
        <v>6400</v>
      </c>
      <c r="D33" s="5">
        <v>128</v>
      </c>
      <c r="E33" s="5">
        <v>100.005837</v>
      </c>
      <c r="F33" s="5">
        <f>6355.67258/C33</f>
        <v>0.99307384062500004</v>
      </c>
      <c r="G33" s="5">
        <f>(B33*C33/A33)/(E33*1000)</f>
        <v>0.99994163340685804</v>
      </c>
      <c r="H33" s="5">
        <f t="shared" si="0"/>
        <v>63.996264538038915</v>
      </c>
      <c r="I33" s="5">
        <f t="shared" si="2"/>
        <v>64</v>
      </c>
      <c r="J33" s="6">
        <f t="shared" si="3"/>
        <v>1.2207743774414064E-4</v>
      </c>
    </row>
    <row r="34" spans="1:10" ht="15">
      <c r="A34" s="4">
        <v>64</v>
      </c>
      <c r="B34" s="5">
        <v>100</v>
      </c>
      <c r="C34" s="5">
        <v>64000</v>
      </c>
      <c r="D34" s="5">
        <v>128</v>
      </c>
      <c r="E34" s="5">
        <v>100.007513</v>
      </c>
      <c r="F34" s="5">
        <f>6396.091871/C34</f>
        <v>9.9938935484374991E-2</v>
      </c>
      <c r="G34" s="5">
        <f t="shared" ref="G34:G36" si="9">(B34*C34/A34)/(E34*1000)</f>
        <v>0.99992487564409283</v>
      </c>
      <c r="H34" s="5">
        <f t="shared" si="0"/>
        <v>639.95192041221947</v>
      </c>
      <c r="I34" s="5">
        <f t="shared" si="2"/>
        <v>640</v>
      </c>
      <c r="J34" s="6">
        <f t="shared" si="3"/>
        <v>1.2207948364257812E-5</v>
      </c>
    </row>
    <row r="35" spans="1:10" ht="15">
      <c r="A35" s="4">
        <v>64</v>
      </c>
      <c r="B35" s="5">
        <v>10</v>
      </c>
      <c r="C35" s="5">
        <v>640000</v>
      </c>
      <c r="D35" s="5">
        <v>128</v>
      </c>
      <c r="E35" s="5">
        <v>101.404523</v>
      </c>
      <c r="F35" s="5">
        <f>6470.635639/C35</f>
        <v>1.01103681859375E-2</v>
      </c>
      <c r="G35" s="5">
        <f t="shared" si="9"/>
        <v>0.98614930618035646</v>
      </c>
      <c r="H35" s="5">
        <f t="shared" si="0"/>
        <v>6311.3555595542812</v>
      </c>
      <c r="I35" s="5">
        <f t="shared" si="2"/>
        <v>6400</v>
      </c>
      <c r="J35" s="6">
        <f t="shared" si="3"/>
        <v>1.2378481811523437E-6</v>
      </c>
    </row>
    <row r="36" spans="1:10" ht="15">
      <c r="A36" s="4">
        <v>64</v>
      </c>
      <c r="B36" s="5">
        <v>1</v>
      </c>
      <c r="C36" s="5">
        <v>6400000</v>
      </c>
      <c r="D36" s="5">
        <v>128</v>
      </c>
      <c r="E36" s="5">
        <v>142.30393699999999</v>
      </c>
      <c r="F36" s="5">
        <f>7142.43897697/C36</f>
        <v>1.1160060901515625E-3</v>
      </c>
      <c r="G36" s="5">
        <f t="shared" si="9"/>
        <v>0.70272124656677637</v>
      </c>
      <c r="H36" s="5">
        <f t="shared" si="0"/>
        <v>44974.159780273687</v>
      </c>
      <c r="I36" s="5">
        <f t="shared" si="2"/>
        <v>64000</v>
      </c>
      <c r="J36" s="6">
        <f t="shared" si="3"/>
        <v>1.7371086059570311E-7</v>
      </c>
    </row>
    <row r="37" spans="1:10" ht="15">
      <c r="A37" s="7">
        <v>64</v>
      </c>
      <c r="B37" s="8">
        <v>0</v>
      </c>
      <c r="C37" s="8">
        <v>6400000</v>
      </c>
      <c r="D37" s="8">
        <v>128</v>
      </c>
      <c r="E37" s="8">
        <v>109.190951</v>
      </c>
      <c r="F37" s="8">
        <f>1065.16383308/C37</f>
        <v>1.6643184891874997E-4</v>
      </c>
      <c r="G37" s="8"/>
      <c r="H37" s="8">
        <f t="shared" si="0"/>
        <v>58612.915643531669</v>
      </c>
      <c r="I37" s="5"/>
      <c r="J37" s="6">
        <f t="shared" si="3"/>
        <v>1.3328973510742187E-7</v>
      </c>
    </row>
    <row r="38" spans="1:10" ht="15">
      <c r="A38" s="4">
        <v>128</v>
      </c>
      <c r="B38" s="5">
        <v>1000</v>
      </c>
      <c r="C38" s="5">
        <v>12800</v>
      </c>
      <c r="D38" s="5">
        <v>256</v>
      </c>
      <c r="E38" s="5">
        <v>100.008055</v>
      </c>
      <c r="F38" s="5">
        <f>12638.596029/C38</f>
        <v>0.987390314765625</v>
      </c>
      <c r="G38" s="5">
        <f>(B38*C38/A38)/(E38*1000)</f>
        <v>0.99991945648778002</v>
      </c>
      <c r="H38" s="5">
        <f t="shared" si="0"/>
        <v>127.98969043043583</v>
      </c>
      <c r="I38" s="5">
        <f t="shared" si="2"/>
        <v>128</v>
      </c>
      <c r="J38" s="6">
        <f t="shared" si="3"/>
        <v>3.0520036315917971E-5</v>
      </c>
    </row>
    <row r="39" spans="1:10" ht="15">
      <c r="A39" s="4">
        <v>128</v>
      </c>
      <c r="B39" s="5">
        <v>100</v>
      </c>
      <c r="C39" s="5">
        <v>128000</v>
      </c>
      <c r="D39" s="5">
        <v>256</v>
      </c>
      <c r="E39" s="5">
        <v>100.00931300000001</v>
      </c>
      <c r="F39" s="5">
        <f>12793.046614/C39</f>
        <v>9.9945676671875011E-2</v>
      </c>
      <c r="G39" s="5">
        <f t="shared" ref="G39:G41" si="10">(B39*C39/A39)/(E39*1000)</f>
        <v>0.99990687867238914</v>
      </c>
      <c r="H39" s="5">
        <f t="shared" si="0"/>
        <v>1279.8808047006582</v>
      </c>
      <c r="I39" s="5">
        <f t="shared" si="2"/>
        <v>1280</v>
      </c>
      <c r="J39" s="6">
        <f t="shared" si="3"/>
        <v>3.0520420227050782E-6</v>
      </c>
    </row>
    <row r="40" spans="1:10" ht="15">
      <c r="A40" s="4">
        <v>128</v>
      </c>
      <c r="B40" s="5">
        <v>10</v>
      </c>
      <c r="C40" s="5">
        <v>1280000</v>
      </c>
      <c r="D40" s="5">
        <v>256</v>
      </c>
      <c r="E40" s="5">
        <v>101.52902</v>
      </c>
      <c r="F40" s="5">
        <f>12943.99425/C40</f>
        <v>1.01124955078125E-2</v>
      </c>
      <c r="G40" s="5">
        <f t="shared" si="10"/>
        <v>0.98494006935160017</v>
      </c>
      <c r="H40" s="5">
        <f t="shared" si="0"/>
        <v>12607.232887700482</v>
      </c>
      <c r="I40" s="5">
        <f t="shared" si="2"/>
        <v>12800</v>
      </c>
      <c r="J40" s="6">
        <f t="shared" si="3"/>
        <v>3.0984197998046875E-7</v>
      </c>
    </row>
    <row r="41" spans="1:10" ht="15">
      <c r="A41" s="4">
        <v>128</v>
      </c>
      <c r="B41" s="5">
        <v>1</v>
      </c>
      <c r="C41" s="5">
        <v>12800000</v>
      </c>
      <c r="D41" s="5">
        <v>256</v>
      </c>
      <c r="E41" s="5">
        <v>215.16729799999999</v>
      </c>
      <c r="F41" s="5">
        <f>14272.3933693/C41</f>
        <v>1.1150307319765624E-3</v>
      </c>
      <c r="G41" s="5">
        <f t="shared" si="10"/>
        <v>0.46475463943410217</v>
      </c>
      <c r="H41" s="5">
        <f t="shared" si="0"/>
        <v>59488.593847565076</v>
      </c>
      <c r="I41" s="5">
        <f t="shared" si="2"/>
        <v>128000</v>
      </c>
      <c r="J41" s="6">
        <f t="shared" si="3"/>
        <v>6.5663848266601558E-8</v>
      </c>
    </row>
    <row r="42" spans="1:10" ht="15">
      <c r="A42" s="7">
        <v>128</v>
      </c>
      <c r="B42" s="8">
        <v>0</v>
      </c>
      <c r="C42" s="8">
        <v>12800000</v>
      </c>
      <c r="D42" s="8">
        <v>256</v>
      </c>
      <c r="E42" s="8">
        <v>201.999639</v>
      </c>
      <c r="F42" s="8">
        <f>2126.07559389/C42</f>
        <v>1.6609965577265627E-4</v>
      </c>
      <c r="G42" s="8"/>
      <c r="H42" s="8">
        <f t="shared" si="0"/>
        <v>63366.449877665378</v>
      </c>
      <c r="I42" s="5"/>
      <c r="J42" s="6">
        <f t="shared" si="3"/>
        <v>6.1645397644042962E-8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K3" zoomScale="70" zoomScaleNormal="70" workbookViewId="0">
      <selection activeCell="Z27" sqref="Z27"/>
    </sheetView>
  </sheetViews>
  <sheetFormatPr defaultRowHeight="14.45"/>
  <cols>
    <col min="2" max="2" width="13.28515625" customWidth="1"/>
    <col min="3" max="3" width="14.7109375" customWidth="1"/>
    <col min="4" max="4" width="12.28515625" customWidth="1"/>
    <col min="5" max="5" width="14.85546875" customWidth="1"/>
    <col min="6" max="6" width="17.5703125" customWidth="1"/>
    <col min="7" max="7" width="13" customWidth="1"/>
    <col min="8" max="8" width="16.7109375" customWidth="1"/>
    <col min="9" max="9" width="15.5703125" customWidth="1"/>
    <col min="10" max="10" width="16.28515625" customWidth="1"/>
  </cols>
  <sheetData>
    <row r="1" spans="1:10" ht="26.1">
      <c r="A1" s="19" t="s">
        <v>11</v>
      </c>
      <c r="B1" s="19"/>
      <c r="C1" s="3"/>
      <c r="D1" s="3"/>
      <c r="E1" s="3"/>
      <c r="F1" s="3"/>
      <c r="G1" s="3"/>
      <c r="H1" s="3"/>
      <c r="I1" s="3"/>
      <c r="J1" s="3"/>
    </row>
    <row r="2" spans="1:10" ht="1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8" t="s">
        <v>7</v>
      </c>
      <c r="H2" s="16" t="s">
        <v>8</v>
      </c>
      <c r="I2" s="16" t="s">
        <v>9</v>
      </c>
      <c r="J2" s="17" t="s">
        <v>10</v>
      </c>
    </row>
    <row r="3" spans="1:10" ht="15">
      <c r="A3" s="4">
        <v>1</v>
      </c>
      <c r="B3" s="5">
        <v>1000</v>
      </c>
      <c r="C3" s="5">
        <v>10</v>
      </c>
      <c r="D3" s="5">
        <v>2</v>
      </c>
      <c r="E3" s="20">
        <v>10.010856</v>
      </c>
      <c r="F3" s="8">
        <f>9.998119/C3</f>
        <v>0.99981190000000009</v>
      </c>
      <c r="G3" s="5">
        <f t="shared" ref="G3:G30" si="0">(C3/E3)*(B3/(A3*1000))</f>
        <v>0.9989155772493381</v>
      </c>
      <c r="H3" s="5">
        <f>C3/E3</f>
        <v>0.9989155772493381</v>
      </c>
      <c r="I3" s="5">
        <f>A3/(B3/1000)</f>
        <v>1</v>
      </c>
      <c r="J3" s="6">
        <f>(E3*D3)/(C3)</f>
        <v>2.0021712000000003</v>
      </c>
    </row>
    <row r="4" spans="1:10" ht="15">
      <c r="A4" s="4">
        <v>1</v>
      </c>
      <c r="B4" s="5">
        <v>100</v>
      </c>
      <c r="C4" s="5">
        <v>100</v>
      </c>
      <c r="D4" s="5">
        <v>2</v>
      </c>
      <c r="E4" s="20">
        <v>10.067958000000001</v>
      </c>
      <c r="F4" s="8">
        <f t="shared" ref="F4:F32" si="1">9.998119/C4</f>
        <v>9.9981190000000011E-2</v>
      </c>
      <c r="G4" s="5">
        <f t="shared" si="0"/>
        <v>0.99325007116636754</v>
      </c>
      <c r="H4" s="5">
        <f t="shared" ref="H4:H32" si="2">C4/E4</f>
        <v>9.9325007116636748</v>
      </c>
      <c r="I4" s="5">
        <f t="shared" ref="I4:I41" si="3">A4/(B4/1000)</f>
        <v>10</v>
      </c>
      <c r="J4" s="6">
        <f t="shared" ref="J4:J32" si="4">(E4*D4)/(C4)</f>
        <v>0.20135916000000001</v>
      </c>
    </row>
    <row r="5" spans="1:10" ht="15">
      <c r="A5" s="4">
        <v>1</v>
      </c>
      <c r="B5" s="5">
        <v>10</v>
      </c>
      <c r="C5" s="5">
        <v>1000</v>
      </c>
      <c r="D5" s="5">
        <v>2</v>
      </c>
      <c r="E5" s="20">
        <v>10.621515</v>
      </c>
      <c r="F5" s="8">
        <f t="shared" si="1"/>
        <v>9.9981190000000015E-3</v>
      </c>
      <c r="G5" s="5">
        <f t="shared" si="0"/>
        <v>0.94148527775934032</v>
      </c>
      <c r="H5" s="5">
        <f t="shared" si="2"/>
        <v>94.148527775934028</v>
      </c>
      <c r="I5" s="5">
        <f t="shared" si="3"/>
        <v>100</v>
      </c>
      <c r="J5" s="6">
        <f t="shared" si="4"/>
        <v>2.124303E-2</v>
      </c>
    </row>
    <row r="6" spans="1:10" ht="15">
      <c r="A6" s="4">
        <v>1</v>
      </c>
      <c r="B6" s="5">
        <v>1</v>
      </c>
      <c r="C6" s="5">
        <v>10000</v>
      </c>
      <c r="D6" s="5">
        <v>2</v>
      </c>
      <c r="E6" s="20">
        <v>17.368950000000002</v>
      </c>
      <c r="F6" s="8">
        <f t="shared" si="1"/>
        <v>9.9981190000000006E-4</v>
      </c>
      <c r="G6" s="5">
        <f t="shared" si="0"/>
        <v>0.57574004185630101</v>
      </c>
      <c r="H6" s="5">
        <f t="shared" si="2"/>
        <v>575.74004185630099</v>
      </c>
      <c r="I6" s="5">
        <f t="shared" si="3"/>
        <v>1000</v>
      </c>
      <c r="J6" s="6">
        <f t="shared" si="4"/>
        <v>3.4737900000000005E-3</v>
      </c>
    </row>
    <row r="7" spans="1:10" ht="15">
      <c r="A7" s="7">
        <v>1</v>
      </c>
      <c r="B7" s="8">
        <v>0</v>
      </c>
      <c r="C7" s="8">
        <v>10000</v>
      </c>
      <c r="D7" s="8">
        <v>2</v>
      </c>
      <c r="E7" s="8">
        <v>6.5646789999999999</v>
      </c>
      <c r="F7" s="8">
        <f t="shared" si="1"/>
        <v>9.9981190000000006E-4</v>
      </c>
      <c r="G7" s="5"/>
      <c r="H7" s="5">
        <f t="shared" si="2"/>
        <v>1523.3037289408971</v>
      </c>
      <c r="I7" s="5"/>
      <c r="J7" s="6">
        <f t="shared" si="4"/>
        <v>1.3129357999999999E-3</v>
      </c>
    </row>
    <row r="8" spans="1:10" ht="15">
      <c r="A8" s="4">
        <v>2</v>
      </c>
      <c r="B8" s="5">
        <v>1000</v>
      </c>
      <c r="C8" s="5">
        <v>20</v>
      </c>
      <c r="D8" s="5">
        <v>4</v>
      </c>
      <c r="E8" s="20">
        <v>10.011698000000001</v>
      </c>
      <c r="F8" s="8">
        <f t="shared" si="1"/>
        <v>0.49990595000000004</v>
      </c>
      <c r="G8" s="5">
        <f t="shared" si="0"/>
        <v>0.99883156683311858</v>
      </c>
      <c r="H8" s="5">
        <f t="shared" si="2"/>
        <v>1.9976631336662372</v>
      </c>
      <c r="I8" s="5">
        <f t="shared" si="3"/>
        <v>2</v>
      </c>
      <c r="J8" s="6">
        <f t="shared" si="4"/>
        <v>2.0023396</v>
      </c>
    </row>
    <row r="9" spans="1:10" ht="15">
      <c r="A9" s="4">
        <v>2</v>
      </c>
      <c r="B9" s="5">
        <v>100</v>
      </c>
      <c r="C9" s="5">
        <v>200</v>
      </c>
      <c r="D9" s="5">
        <v>4</v>
      </c>
      <c r="E9" s="20">
        <v>10.07161</v>
      </c>
      <c r="F9" s="8">
        <f t="shared" si="1"/>
        <v>4.9990595000000006E-2</v>
      </c>
      <c r="G9" s="5">
        <f t="shared" si="0"/>
        <v>0.99288991531641924</v>
      </c>
      <c r="H9" s="5">
        <f t="shared" si="2"/>
        <v>19.857798306328384</v>
      </c>
      <c r="I9" s="5">
        <f t="shared" si="3"/>
        <v>20</v>
      </c>
      <c r="J9" s="6">
        <f t="shared" si="4"/>
        <v>0.20143220000000001</v>
      </c>
    </row>
    <row r="10" spans="1:10" ht="15">
      <c r="A10" s="4">
        <v>2</v>
      </c>
      <c r="B10" s="5">
        <v>10</v>
      </c>
      <c r="C10" s="5">
        <v>2000</v>
      </c>
      <c r="D10" s="5">
        <v>4</v>
      </c>
      <c r="E10" s="20">
        <v>10.679085000000001</v>
      </c>
      <c r="F10" s="8">
        <f t="shared" si="1"/>
        <v>4.9990595000000007E-3</v>
      </c>
      <c r="G10" s="5">
        <f t="shared" si="0"/>
        <v>0.93640981413669788</v>
      </c>
      <c r="H10" s="5">
        <f t="shared" si="2"/>
        <v>187.28196282733958</v>
      </c>
      <c r="I10" s="5">
        <f t="shared" si="3"/>
        <v>200</v>
      </c>
      <c r="J10" s="6">
        <f t="shared" si="4"/>
        <v>2.1358170000000003E-2</v>
      </c>
    </row>
    <row r="11" spans="1:10" ht="15">
      <c r="A11" s="4">
        <v>2</v>
      </c>
      <c r="B11" s="5">
        <v>1</v>
      </c>
      <c r="C11" s="5">
        <v>20000</v>
      </c>
      <c r="D11" s="5">
        <v>4</v>
      </c>
      <c r="E11" s="20">
        <v>17.736501000000001</v>
      </c>
      <c r="F11" s="8">
        <f t="shared" si="1"/>
        <v>4.9990595000000003E-4</v>
      </c>
      <c r="G11" s="5">
        <f t="shared" si="0"/>
        <v>0.56380906245262241</v>
      </c>
      <c r="H11" s="5">
        <f t="shared" si="2"/>
        <v>1127.6181249052447</v>
      </c>
      <c r="I11" s="5">
        <f t="shared" si="3"/>
        <v>2000</v>
      </c>
      <c r="J11" s="6">
        <f t="shared" si="4"/>
        <v>3.5473002000000003E-3</v>
      </c>
    </row>
    <row r="12" spans="1:10" ht="15">
      <c r="A12" s="7">
        <v>2</v>
      </c>
      <c r="B12" s="8">
        <v>0</v>
      </c>
      <c r="C12" s="8">
        <v>20000</v>
      </c>
      <c r="D12" s="8">
        <v>4</v>
      </c>
      <c r="E12" s="8">
        <v>8.0498740000000009</v>
      </c>
      <c r="F12" s="8">
        <f t="shared" si="1"/>
        <v>4.9990595000000003E-4</v>
      </c>
      <c r="G12" s="5"/>
      <c r="H12" s="5">
        <f t="shared" si="2"/>
        <v>2484.5109376867263</v>
      </c>
      <c r="I12" s="5"/>
      <c r="J12" s="6">
        <f t="shared" si="4"/>
        <v>1.6099748000000002E-3</v>
      </c>
    </row>
    <row r="13" spans="1:10" ht="15">
      <c r="A13" s="4">
        <v>4</v>
      </c>
      <c r="B13" s="5">
        <v>1000</v>
      </c>
      <c r="C13" s="5">
        <v>40</v>
      </c>
      <c r="D13" s="5">
        <v>8</v>
      </c>
      <c r="E13" s="20">
        <v>10.015371999999999</v>
      </c>
      <c r="F13" s="8">
        <f t="shared" si="1"/>
        <v>0.24995297500000002</v>
      </c>
      <c r="G13" s="5">
        <f t="shared" si="0"/>
        <v>0.99846515935703639</v>
      </c>
      <c r="H13" s="5">
        <f t="shared" si="2"/>
        <v>3.9938606374281456</v>
      </c>
      <c r="I13" s="5">
        <f t="shared" si="3"/>
        <v>4</v>
      </c>
      <c r="J13" s="6">
        <f t="shared" si="4"/>
        <v>2.0030744</v>
      </c>
    </row>
    <row r="14" spans="1:10" ht="15">
      <c r="A14" s="4">
        <v>4</v>
      </c>
      <c r="B14" s="5">
        <v>100</v>
      </c>
      <c r="C14" s="5">
        <v>400</v>
      </c>
      <c r="D14" s="5">
        <v>8</v>
      </c>
      <c r="E14" s="20">
        <v>10.102033</v>
      </c>
      <c r="F14" s="8">
        <f t="shared" si="1"/>
        <v>2.4995297500000003E-2</v>
      </c>
      <c r="G14" s="5">
        <f t="shared" si="0"/>
        <v>0.98989975582142731</v>
      </c>
      <c r="H14" s="5">
        <f t="shared" si="2"/>
        <v>39.595990232857091</v>
      </c>
      <c r="I14" s="5">
        <f t="shared" si="3"/>
        <v>40</v>
      </c>
      <c r="J14" s="6">
        <f t="shared" si="4"/>
        <v>0.20204066000000001</v>
      </c>
    </row>
    <row r="15" spans="1:10" ht="15">
      <c r="A15" s="4">
        <v>4</v>
      </c>
      <c r="B15" s="5">
        <v>10</v>
      </c>
      <c r="C15" s="5">
        <v>4000</v>
      </c>
      <c r="D15" s="5">
        <v>8</v>
      </c>
      <c r="E15" s="20">
        <v>10.79236</v>
      </c>
      <c r="F15" s="8">
        <f t="shared" si="1"/>
        <v>2.4995297500000004E-3</v>
      </c>
      <c r="G15" s="5">
        <f t="shared" si="0"/>
        <v>0.92658139646935422</v>
      </c>
      <c r="H15" s="5">
        <f t="shared" si="2"/>
        <v>370.6325585877417</v>
      </c>
      <c r="I15" s="5">
        <f t="shared" si="3"/>
        <v>400</v>
      </c>
      <c r="J15" s="6">
        <f t="shared" si="4"/>
        <v>2.1584720000000002E-2</v>
      </c>
    </row>
    <row r="16" spans="1:10" ht="15">
      <c r="A16" s="4">
        <v>4</v>
      </c>
      <c r="B16" s="5">
        <v>1</v>
      </c>
      <c r="C16" s="5">
        <v>40000</v>
      </c>
      <c r="D16" s="5">
        <v>8</v>
      </c>
      <c r="E16" s="20">
        <v>18.758323000000001</v>
      </c>
      <c r="F16" s="8">
        <f t="shared" si="1"/>
        <v>2.4995297500000002E-4</v>
      </c>
      <c r="G16" s="5">
        <f t="shared" si="0"/>
        <v>0.53309669526428338</v>
      </c>
      <c r="H16" s="5">
        <f t="shared" si="2"/>
        <v>2132.3867810571337</v>
      </c>
      <c r="I16" s="5">
        <f t="shared" si="3"/>
        <v>4000</v>
      </c>
      <c r="J16" s="6">
        <f t="shared" si="4"/>
        <v>3.7516646000000002E-3</v>
      </c>
    </row>
    <row r="17" spans="1:10" ht="15">
      <c r="A17" s="7">
        <v>4</v>
      </c>
      <c r="B17" s="8">
        <v>0</v>
      </c>
      <c r="C17" s="8">
        <v>40000</v>
      </c>
      <c r="D17" s="8">
        <v>8</v>
      </c>
      <c r="E17" s="8">
        <v>8.6278419999999993</v>
      </c>
      <c r="F17" s="8">
        <f t="shared" si="1"/>
        <v>2.4995297500000002E-4</v>
      </c>
      <c r="G17" s="5"/>
      <c r="H17" s="5">
        <f t="shared" si="2"/>
        <v>4636.1535132423614</v>
      </c>
      <c r="I17" s="5"/>
      <c r="J17" s="6">
        <f t="shared" si="4"/>
        <v>1.7255683999999999E-3</v>
      </c>
    </row>
    <row r="18" spans="1:10" ht="15">
      <c r="A18" s="4">
        <v>8</v>
      </c>
      <c r="B18" s="5">
        <v>1000</v>
      </c>
      <c r="C18" s="5">
        <v>80</v>
      </c>
      <c r="D18" s="5">
        <v>16</v>
      </c>
      <c r="E18" s="20">
        <v>10.0251</v>
      </c>
      <c r="F18" s="8">
        <f t="shared" si="1"/>
        <v>0.12497648750000001</v>
      </c>
      <c r="G18" s="5">
        <f t="shared" si="0"/>
        <v>0.99749628432634085</v>
      </c>
      <c r="H18" s="5">
        <f t="shared" si="2"/>
        <v>7.9799702746107268</v>
      </c>
      <c r="I18" s="5">
        <f t="shared" si="3"/>
        <v>8</v>
      </c>
      <c r="J18" s="6">
        <f t="shared" si="4"/>
        <v>2.00502</v>
      </c>
    </row>
    <row r="19" spans="1:10" ht="15">
      <c r="A19" s="4">
        <v>8</v>
      </c>
      <c r="B19" s="5">
        <v>100</v>
      </c>
      <c r="C19" s="5">
        <v>800</v>
      </c>
      <c r="D19" s="5">
        <v>16</v>
      </c>
      <c r="E19" s="20">
        <v>10.119268</v>
      </c>
      <c r="F19" s="8">
        <f t="shared" si="1"/>
        <v>1.2497648750000001E-2</v>
      </c>
      <c r="G19" s="5">
        <f t="shared" si="0"/>
        <v>0.98821377198429772</v>
      </c>
      <c r="H19" s="5">
        <f t="shared" si="2"/>
        <v>79.057101758743812</v>
      </c>
      <c r="I19" s="5">
        <f t="shared" si="3"/>
        <v>80</v>
      </c>
      <c r="J19" s="6">
        <f t="shared" si="4"/>
        <v>0.20238535999999999</v>
      </c>
    </row>
    <row r="20" spans="1:10" ht="15">
      <c r="A20" s="4">
        <v>8</v>
      </c>
      <c r="B20" s="5">
        <v>10</v>
      </c>
      <c r="C20" s="5">
        <v>8000</v>
      </c>
      <c r="D20" s="5">
        <v>16</v>
      </c>
      <c r="E20" s="20">
        <v>11.108684</v>
      </c>
      <c r="F20" s="8">
        <f t="shared" si="1"/>
        <v>1.2497648750000002E-3</v>
      </c>
      <c r="G20" s="5">
        <f t="shared" si="0"/>
        <v>0.90019663895381297</v>
      </c>
      <c r="H20" s="5">
        <f t="shared" si="2"/>
        <v>720.15731116305039</v>
      </c>
      <c r="I20" s="5">
        <f t="shared" si="3"/>
        <v>800</v>
      </c>
      <c r="J20" s="6">
        <f t="shared" si="4"/>
        <v>2.2217368000000001E-2</v>
      </c>
    </row>
    <row r="21" spans="1:10" ht="15">
      <c r="A21" s="4">
        <v>8</v>
      </c>
      <c r="B21" s="5">
        <v>1</v>
      </c>
      <c r="C21" s="5">
        <v>80000</v>
      </c>
      <c r="D21" s="5">
        <v>16</v>
      </c>
      <c r="E21" s="20">
        <v>20.956468999999998</v>
      </c>
      <c r="F21" s="8">
        <f t="shared" si="1"/>
        <v>1.2497648750000001E-4</v>
      </c>
      <c r="G21" s="5">
        <f t="shared" si="0"/>
        <v>0.47717962410556858</v>
      </c>
      <c r="H21" s="5">
        <f t="shared" si="2"/>
        <v>3817.4369928445485</v>
      </c>
      <c r="I21" s="5">
        <f t="shared" si="3"/>
        <v>8000</v>
      </c>
      <c r="J21" s="6">
        <f t="shared" si="4"/>
        <v>4.1912937999999999E-3</v>
      </c>
    </row>
    <row r="22" spans="1:10" ht="15">
      <c r="A22" s="7">
        <v>8</v>
      </c>
      <c r="B22" s="8">
        <v>0</v>
      </c>
      <c r="C22" s="8">
        <v>80000</v>
      </c>
      <c r="D22" s="8">
        <v>16</v>
      </c>
      <c r="E22" s="8">
        <v>11.587272</v>
      </c>
      <c r="F22" s="8">
        <f t="shared" si="1"/>
        <v>1.2497648750000001E-4</v>
      </c>
      <c r="G22" s="5"/>
      <c r="H22" s="5">
        <f t="shared" si="2"/>
        <v>6904.1272182097737</v>
      </c>
      <c r="I22" s="5"/>
      <c r="J22" s="6">
        <f t="shared" si="4"/>
        <v>2.3174544000000002E-3</v>
      </c>
    </row>
    <row r="23" spans="1:10" ht="15">
      <c r="A23" s="4">
        <v>16</v>
      </c>
      <c r="B23" s="5">
        <v>1000</v>
      </c>
      <c r="C23" s="5">
        <v>160</v>
      </c>
      <c r="D23" s="5">
        <v>32</v>
      </c>
      <c r="E23" s="20">
        <v>10.040463000000001</v>
      </c>
      <c r="F23" s="8">
        <f t="shared" si="1"/>
        <v>6.2488243750000005E-2</v>
      </c>
      <c r="G23" s="5">
        <f t="shared" si="0"/>
        <v>0.99597000656244628</v>
      </c>
      <c r="H23" s="5">
        <f t="shared" si="2"/>
        <v>15.93552010499914</v>
      </c>
      <c r="I23" s="5">
        <f t="shared" si="3"/>
        <v>16</v>
      </c>
      <c r="J23" s="6">
        <f t="shared" si="4"/>
        <v>2.0080926000000003</v>
      </c>
    </row>
    <row r="24" spans="1:10" ht="15">
      <c r="A24" s="4">
        <v>16</v>
      </c>
      <c r="B24" s="5">
        <v>100</v>
      </c>
      <c r="C24" s="5">
        <v>1600</v>
      </c>
      <c r="D24" s="5">
        <v>32</v>
      </c>
      <c r="E24" s="20">
        <v>10.170069</v>
      </c>
      <c r="F24" s="8">
        <f t="shared" si="1"/>
        <v>6.2488243750000007E-3</v>
      </c>
      <c r="G24" s="5">
        <f t="shared" si="0"/>
        <v>0.98327749792061392</v>
      </c>
      <c r="H24" s="5">
        <f t="shared" si="2"/>
        <v>157.32439966729822</v>
      </c>
      <c r="I24" s="5">
        <f t="shared" si="3"/>
        <v>160</v>
      </c>
      <c r="J24" s="6">
        <f t="shared" si="4"/>
        <v>0.20340137999999999</v>
      </c>
    </row>
    <row r="25" spans="1:10" ht="15">
      <c r="A25" s="4">
        <v>16</v>
      </c>
      <c r="B25" s="5">
        <v>10</v>
      </c>
      <c r="C25" s="5">
        <v>16000</v>
      </c>
      <c r="D25" s="5">
        <v>32</v>
      </c>
      <c r="E25" s="20">
        <v>11.56644</v>
      </c>
      <c r="F25" s="8">
        <f t="shared" si="1"/>
        <v>6.2488243750000009E-4</v>
      </c>
      <c r="G25" s="5">
        <f t="shared" si="0"/>
        <v>0.86457025670820065</v>
      </c>
      <c r="H25" s="5">
        <f t="shared" si="2"/>
        <v>1383.3124107331209</v>
      </c>
      <c r="I25" s="5">
        <f t="shared" si="3"/>
        <v>1600</v>
      </c>
      <c r="J25" s="6">
        <f t="shared" si="4"/>
        <v>2.3132880000000001E-2</v>
      </c>
    </row>
    <row r="26" spans="1:10" ht="15">
      <c r="A26" s="4">
        <v>16</v>
      </c>
      <c r="B26" s="5">
        <v>1</v>
      </c>
      <c r="C26" s="5">
        <v>160000</v>
      </c>
      <c r="D26" s="5">
        <v>32</v>
      </c>
      <c r="E26" s="20">
        <v>25.868713</v>
      </c>
      <c r="F26" s="8">
        <f t="shared" si="1"/>
        <v>6.2488243750000004E-5</v>
      </c>
      <c r="G26" s="5">
        <f t="shared" si="0"/>
        <v>0.38656735648194018</v>
      </c>
      <c r="H26" s="5">
        <f t="shared" si="2"/>
        <v>6185.0777037110429</v>
      </c>
      <c r="I26" s="5">
        <f t="shared" si="3"/>
        <v>16000</v>
      </c>
      <c r="J26" s="6">
        <f t="shared" si="4"/>
        <v>5.1737425999999996E-3</v>
      </c>
    </row>
    <row r="27" spans="1:10" ht="15">
      <c r="A27" s="7">
        <v>16</v>
      </c>
      <c r="B27" s="8">
        <v>0</v>
      </c>
      <c r="C27" s="8">
        <v>160000</v>
      </c>
      <c r="D27" s="8">
        <v>32</v>
      </c>
      <c r="E27" s="8">
        <v>18.711957999999999</v>
      </c>
      <c r="F27" s="8">
        <f t="shared" si="1"/>
        <v>6.2488243750000004E-5</v>
      </c>
      <c r="G27" s="5"/>
      <c r="H27" s="5">
        <f t="shared" si="2"/>
        <v>8550.6818687814502</v>
      </c>
      <c r="I27" s="5"/>
      <c r="J27" s="6">
        <f t="shared" si="4"/>
        <v>3.7423915999999996E-3</v>
      </c>
    </row>
    <row r="28" spans="1:10" ht="15">
      <c r="A28" s="4">
        <v>32</v>
      </c>
      <c r="B28" s="5">
        <v>1000</v>
      </c>
      <c r="C28" s="5">
        <v>320</v>
      </c>
      <c r="D28" s="5">
        <v>64</v>
      </c>
      <c r="E28" s="20">
        <v>10.070074</v>
      </c>
      <c r="F28" s="8">
        <f t="shared" si="1"/>
        <v>3.1244121875000003E-2</v>
      </c>
      <c r="G28" s="5">
        <f t="shared" si="0"/>
        <v>0.9930413619602001</v>
      </c>
      <c r="H28" s="5">
        <f t="shared" si="2"/>
        <v>31.777323582726403</v>
      </c>
      <c r="I28" s="5">
        <f t="shared" si="3"/>
        <v>32</v>
      </c>
      <c r="J28" s="6">
        <f t="shared" si="4"/>
        <v>2.0140148</v>
      </c>
    </row>
    <row r="29" spans="1:10" ht="15">
      <c r="A29" s="4">
        <v>32</v>
      </c>
      <c r="B29" s="5">
        <v>100</v>
      </c>
      <c r="C29" s="5">
        <v>3200</v>
      </c>
      <c r="D29" s="5">
        <v>64</v>
      </c>
      <c r="E29" s="20">
        <v>10.318407000000001</v>
      </c>
      <c r="F29" s="8">
        <f t="shared" si="1"/>
        <v>3.1244121875000004E-3</v>
      </c>
      <c r="G29" s="5">
        <f t="shared" si="0"/>
        <v>0.96914184524801161</v>
      </c>
      <c r="H29" s="5">
        <f t="shared" si="2"/>
        <v>310.12539047936372</v>
      </c>
      <c r="I29" s="5">
        <f t="shared" si="3"/>
        <v>320</v>
      </c>
      <c r="J29" s="6">
        <f t="shared" si="4"/>
        <v>0.20636814000000001</v>
      </c>
    </row>
    <row r="30" spans="1:10" ht="15">
      <c r="A30" s="4">
        <v>32</v>
      </c>
      <c r="B30" s="5">
        <v>10</v>
      </c>
      <c r="C30" s="5">
        <v>32000</v>
      </c>
      <c r="D30" s="5">
        <v>64</v>
      </c>
      <c r="E30" s="20">
        <v>13.270612</v>
      </c>
      <c r="F30" s="8">
        <f t="shared" si="1"/>
        <v>3.1244121875000005E-4</v>
      </c>
      <c r="G30" s="5">
        <f t="shared" si="0"/>
        <v>0.75354474985780617</v>
      </c>
      <c r="H30" s="5">
        <f t="shared" si="2"/>
        <v>2411.3431995449796</v>
      </c>
      <c r="I30" s="5">
        <f t="shared" si="3"/>
        <v>3200</v>
      </c>
      <c r="J30" s="6">
        <f t="shared" si="4"/>
        <v>2.6541223999999999E-2</v>
      </c>
    </row>
    <row r="31" spans="1:10" ht="15">
      <c r="A31" s="4">
        <v>32</v>
      </c>
      <c r="B31" s="5">
        <v>1</v>
      </c>
      <c r="C31" s="5">
        <v>320000</v>
      </c>
      <c r="D31" s="5">
        <v>64</v>
      </c>
      <c r="E31" s="20">
        <v>37.727708999999997</v>
      </c>
      <c r="F31" s="8">
        <f t="shared" si="1"/>
        <v>3.1244121875000002E-5</v>
      </c>
      <c r="G31" s="5">
        <f t="shared" ref="G31" si="5">(C31/E31)*(B31/(A31*1000))</f>
        <v>0.26505717588099509</v>
      </c>
      <c r="H31" s="5">
        <f t="shared" si="2"/>
        <v>8481.8296281918429</v>
      </c>
      <c r="I31" s="5">
        <f t="shared" si="3"/>
        <v>32000</v>
      </c>
      <c r="J31" s="6">
        <f t="shared" si="4"/>
        <v>7.5455417999999996E-3</v>
      </c>
    </row>
    <row r="32" spans="1:10" ht="15">
      <c r="A32" s="7">
        <v>32</v>
      </c>
      <c r="B32" s="8">
        <v>0</v>
      </c>
      <c r="C32" s="8">
        <v>320000</v>
      </c>
      <c r="D32" s="8">
        <v>64</v>
      </c>
      <c r="E32" s="8">
        <v>33.045268</v>
      </c>
      <c r="F32" s="8">
        <f t="shared" si="1"/>
        <v>3.1244121875000002E-5</v>
      </c>
      <c r="G32" s="5"/>
      <c r="H32" s="5">
        <f t="shared" si="2"/>
        <v>9683.6860273004895</v>
      </c>
      <c r="I32" s="5"/>
      <c r="J32" s="6">
        <f t="shared" si="4"/>
        <v>6.6090536000000004E-3</v>
      </c>
    </row>
    <row r="33" spans="1:10" ht="15">
      <c r="A33" s="4">
        <v>64</v>
      </c>
      <c r="B33" s="5">
        <v>1000</v>
      </c>
      <c r="C33" s="5">
        <v>6400</v>
      </c>
      <c r="D33" s="5">
        <v>128</v>
      </c>
      <c r="E33" s="5"/>
      <c r="F33" s="5"/>
      <c r="G33" s="5"/>
      <c r="H33" s="5"/>
      <c r="I33" s="5">
        <f t="shared" si="3"/>
        <v>64</v>
      </c>
      <c r="J33" s="6"/>
    </row>
    <row r="34" spans="1:10" ht="15">
      <c r="A34" s="4">
        <v>64</v>
      </c>
      <c r="B34" s="5">
        <v>100</v>
      </c>
      <c r="C34" s="5">
        <v>64000</v>
      </c>
      <c r="D34" s="5">
        <v>128</v>
      </c>
      <c r="E34" s="5"/>
      <c r="F34" s="5"/>
      <c r="G34" s="5"/>
      <c r="H34" s="5"/>
      <c r="I34" s="5">
        <f t="shared" si="3"/>
        <v>640</v>
      </c>
      <c r="J34" s="6"/>
    </row>
    <row r="35" spans="1:10" ht="15">
      <c r="A35" s="4">
        <v>64</v>
      </c>
      <c r="B35" s="5">
        <v>10</v>
      </c>
      <c r="C35" s="5">
        <v>640000</v>
      </c>
      <c r="D35" s="5">
        <v>128</v>
      </c>
      <c r="E35" s="5"/>
      <c r="F35" s="5"/>
      <c r="G35" s="5"/>
      <c r="H35" s="5"/>
      <c r="I35" s="5">
        <f t="shared" si="3"/>
        <v>6400</v>
      </c>
      <c r="J35" s="6"/>
    </row>
    <row r="36" spans="1:10" ht="15">
      <c r="A36" s="4">
        <v>64</v>
      </c>
      <c r="B36" s="5">
        <v>1</v>
      </c>
      <c r="C36" s="5">
        <v>6400000</v>
      </c>
      <c r="D36" s="5">
        <v>128</v>
      </c>
      <c r="E36" s="5"/>
      <c r="F36" s="5"/>
      <c r="G36" s="5"/>
      <c r="H36" s="5"/>
      <c r="I36" s="5">
        <f t="shared" si="3"/>
        <v>64000</v>
      </c>
      <c r="J36" s="6"/>
    </row>
    <row r="37" spans="1:10" ht="15">
      <c r="A37" s="7">
        <v>64</v>
      </c>
      <c r="B37" s="8">
        <v>0</v>
      </c>
      <c r="C37" s="8">
        <v>6400000</v>
      </c>
      <c r="D37" s="8">
        <v>128</v>
      </c>
      <c r="E37" s="8"/>
      <c r="F37" s="8"/>
      <c r="G37" s="8"/>
      <c r="H37" s="8"/>
      <c r="I37" s="5"/>
      <c r="J37" s="6"/>
    </row>
    <row r="38" spans="1:10" ht="15">
      <c r="A38" s="4">
        <v>128</v>
      </c>
      <c r="B38" s="5">
        <v>1000</v>
      </c>
      <c r="C38" s="5">
        <v>12800</v>
      </c>
      <c r="D38" s="5">
        <v>256</v>
      </c>
      <c r="E38" s="5"/>
      <c r="F38" s="5"/>
      <c r="G38" s="5"/>
      <c r="H38" s="5"/>
      <c r="I38" s="5">
        <f t="shared" si="3"/>
        <v>128</v>
      </c>
      <c r="J38" s="6"/>
    </row>
    <row r="39" spans="1:10" ht="15">
      <c r="A39" s="4">
        <v>128</v>
      </c>
      <c r="B39" s="5">
        <v>100</v>
      </c>
      <c r="C39" s="5">
        <v>128000</v>
      </c>
      <c r="D39" s="5">
        <v>256</v>
      </c>
      <c r="E39" s="5"/>
      <c r="F39" s="5"/>
      <c r="G39" s="5"/>
      <c r="H39" s="5"/>
      <c r="I39" s="5">
        <f t="shared" si="3"/>
        <v>1280</v>
      </c>
      <c r="J39" s="6"/>
    </row>
    <row r="40" spans="1:10" ht="15">
      <c r="A40" s="4">
        <v>128</v>
      </c>
      <c r="B40" s="5">
        <v>10</v>
      </c>
      <c r="C40" s="5">
        <v>1280000</v>
      </c>
      <c r="D40" s="5">
        <v>256</v>
      </c>
      <c r="E40" s="5"/>
      <c r="F40" s="5"/>
      <c r="G40" s="5"/>
      <c r="H40" s="5"/>
      <c r="I40" s="5">
        <f t="shared" si="3"/>
        <v>12800</v>
      </c>
      <c r="J40" s="6"/>
    </row>
    <row r="41" spans="1:10" ht="15">
      <c r="A41" s="4">
        <v>128</v>
      </c>
      <c r="B41" s="5">
        <v>1</v>
      </c>
      <c r="C41" s="5">
        <v>12800000</v>
      </c>
      <c r="D41" s="5">
        <v>256</v>
      </c>
      <c r="E41" s="5"/>
      <c r="F41" s="5"/>
      <c r="G41" s="5"/>
      <c r="H41" s="5"/>
      <c r="I41" s="5">
        <f t="shared" si="3"/>
        <v>128000</v>
      </c>
      <c r="J41" s="6"/>
    </row>
    <row r="42" spans="1:10" ht="15">
      <c r="A42" s="7">
        <v>128</v>
      </c>
      <c r="B42" s="8">
        <v>0</v>
      </c>
      <c r="C42" s="8">
        <v>12800000</v>
      </c>
      <c r="D42" s="8">
        <v>256</v>
      </c>
      <c r="E42" s="8"/>
      <c r="F42" s="8"/>
      <c r="G42" s="8"/>
      <c r="H42" s="8"/>
      <c r="I42" s="5"/>
      <c r="J42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="78" zoomScaleNormal="70" workbookViewId="0">
      <selection activeCell="I3" sqref="I3"/>
    </sheetView>
  </sheetViews>
  <sheetFormatPr defaultColWidth="8.85546875" defaultRowHeight="14.45"/>
  <cols>
    <col min="1" max="1" width="13.7109375" style="3" customWidth="1"/>
    <col min="2" max="3" width="18.28515625" style="3" customWidth="1"/>
    <col min="4" max="4" width="18.42578125" style="3" customWidth="1"/>
    <col min="5" max="5" width="14.28515625" style="3" customWidth="1"/>
    <col min="6" max="6" width="18.7109375" style="3" customWidth="1"/>
    <col min="7" max="7" width="13.42578125" style="3" customWidth="1"/>
    <col min="8" max="8" width="18.7109375" style="3" customWidth="1"/>
    <col min="9" max="9" width="18.42578125" style="3" customWidth="1"/>
    <col min="10" max="16384" width="8.85546875" style="3"/>
  </cols>
  <sheetData>
    <row r="1" spans="1:9" ht="26.1">
      <c r="A1" s="19" t="s">
        <v>12</v>
      </c>
      <c r="B1" s="19"/>
    </row>
    <row r="2" spans="1:9" ht="1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8" t="s">
        <v>7</v>
      </c>
      <c r="H2" s="16" t="s">
        <v>8</v>
      </c>
      <c r="I2" s="17" t="s">
        <v>10</v>
      </c>
    </row>
    <row r="3" spans="1:9" ht="15">
      <c r="A3" s="4">
        <v>1</v>
      </c>
      <c r="B3" s="5">
        <v>1000</v>
      </c>
      <c r="C3" s="3">
        <v>50</v>
      </c>
      <c r="D3" s="5">
        <v>2</v>
      </c>
      <c r="E3" s="5">
        <f>C3/H3</f>
        <v>26.315789473684212</v>
      </c>
      <c r="F3" s="5"/>
      <c r="G3" s="5">
        <f>H3*B3/1000/D3</f>
        <v>0.95</v>
      </c>
      <c r="H3" s="5">
        <v>1.9</v>
      </c>
      <c r="I3" s="6">
        <f>E3*D3/C3*1000</f>
        <v>1052.6315789473686</v>
      </c>
    </row>
    <row r="4" spans="1:9" ht="15">
      <c r="A4" s="4">
        <v>1</v>
      </c>
      <c r="B4" s="5">
        <v>100</v>
      </c>
      <c r="C4" s="3">
        <v>500</v>
      </c>
      <c r="D4" s="5">
        <v>2</v>
      </c>
      <c r="E4" s="5">
        <f t="shared" ref="E4:E42" si="0">C4/H4</f>
        <v>30.303030303030305</v>
      </c>
      <c r="F4" s="5"/>
      <c r="G4" s="5">
        <f t="shared" ref="G4:G42" si="1">H4*B4/1000/D4</f>
        <v>0.82499999999999996</v>
      </c>
      <c r="H4" s="20">
        <v>16.5</v>
      </c>
      <c r="I4" s="6">
        <f t="shared" ref="I4:I42" si="2">E4*D4/C4*1000</f>
        <v>121.21212121212122</v>
      </c>
    </row>
    <row r="5" spans="1:9" ht="15">
      <c r="A5" s="4">
        <v>1</v>
      </c>
      <c r="B5" s="5">
        <v>10</v>
      </c>
      <c r="C5" s="3">
        <v>5000</v>
      </c>
      <c r="D5" s="5">
        <v>2</v>
      </c>
      <c r="E5" s="5">
        <f t="shared" si="0"/>
        <v>74.183976261127597</v>
      </c>
      <c r="F5" s="5"/>
      <c r="G5" s="5">
        <f t="shared" si="1"/>
        <v>0.33700000000000002</v>
      </c>
      <c r="H5" s="5">
        <v>67.400000000000006</v>
      </c>
      <c r="I5" s="6">
        <f t="shared" si="2"/>
        <v>29.673590504451038</v>
      </c>
    </row>
    <row r="6" spans="1:9" ht="15">
      <c r="A6" s="4">
        <v>1</v>
      </c>
      <c r="B6" s="5">
        <v>1</v>
      </c>
      <c r="C6" s="3">
        <v>5000</v>
      </c>
      <c r="D6" s="5">
        <v>2</v>
      </c>
      <c r="E6" s="5">
        <f t="shared" si="0"/>
        <v>52.910052910052912</v>
      </c>
      <c r="F6" s="5"/>
      <c r="G6" s="5">
        <f t="shared" si="1"/>
        <v>4.725E-2</v>
      </c>
      <c r="H6" s="5">
        <v>94.5</v>
      </c>
      <c r="I6" s="6">
        <f t="shared" si="2"/>
        <v>21.164021164021165</v>
      </c>
    </row>
    <row r="7" spans="1:9" ht="15">
      <c r="A7" s="7">
        <v>1</v>
      </c>
      <c r="B7" s="8">
        <v>0</v>
      </c>
      <c r="C7" s="8">
        <v>5000</v>
      </c>
      <c r="D7" s="8">
        <v>2</v>
      </c>
      <c r="E7" s="5">
        <f t="shared" si="0"/>
        <v>51.124744376278123</v>
      </c>
      <c r="F7" s="8"/>
      <c r="G7" s="5">
        <f t="shared" si="1"/>
        <v>0</v>
      </c>
      <c r="H7" s="8">
        <v>97.8</v>
      </c>
      <c r="I7" s="6">
        <f t="shared" si="2"/>
        <v>20.449897750511248</v>
      </c>
    </row>
    <row r="8" spans="1:9" ht="15">
      <c r="A8" s="4">
        <v>2</v>
      </c>
      <c r="B8" s="5">
        <v>1000</v>
      </c>
      <c r="C8" s="3">
        <v>100</v>
      </c>
      <c r="D8" s="5">
        <v>4</v>
      </c>
      <c r="E8" s="5">
        <f t="shared" si="0"/>
        <v>26.525198938992041</v>
      </c>
      <c r="F8" s="5"/>
      <c r="G8" s="5">
        <f t="shared" si="1"/>
        <v>0.9425</v>
      </c>
      <c r="H8" s="5">
        <v>3.77</v>
      </c>
      <c r="I8" s="6">
        <f t="shared" si="2"/>
        <v>1061.0079575596815</v>
      </c>
    </row>
    <row r="9" spans="1:9" ht="15">
      <c r="A9" s="4">
        <v>2</v>
      </c>
      <c r="B9" s="5">
        <v>100</v>
      </c>
      <c r="C9" s="3">
        <v>1000</v>
      </c>
      <c r="D9" s="5">
        <v>4</v>
      </c>
      <c r="E9" s="5">
        <f t="shared" si="0"/>
        <v>29.411764705882351</v>
      </c>
      <c r="F9" s="5"/>
      <c r="G9" s="5">
        <f t="shared" si="1"/>
        <v>0.85</v>
      </c>
      <c r="H9" s="20">
        <v>34</v>
      </c>
      <c r="I9" s="6">
        <f t="shared" si="2"/>
        <v>117.64705882352941</v>
      </c>
    </row>
    <row r="10" spans="1:9" ht="15">
      <c r="A10" s="4">
        <v>2</v>
      </c>
      <c r="B10" s="5">
        <v>10</v>
      </c>
      <c r="C10" s="3">
        <v>1000</v>
      </c>
      <c r="D10" s="5">
        <v>4</v>
      </c>
      <c r="E10" s="5">
        <f t="shared" si="0"/>
        <v>14.925373134328359</v>
      </c>
      <c r="F10" s="5"/>
      <c r="G10" s="5">
        <f t="shared" si="1"/>
        <v>0.16750000000000001</v>
      </c>
      <c r="H10" s="20">
        <v>67</v>
      </c>
      <c r="I10" s="6">
        <f t="shared" si="2"/>
        <v>59.701492537313435</v>
      </c>
    </row>
    <row r="11" spans="1:9" ht="15">
      <c r="A11" s="4">
        <v>2</v>
      </c>
      <c r="B11" s="5">
        <v>1</v>
      </c>
      <c r="C11" s="3">
        <v>10000</v>
      </c>
      <c r="D11" s="5">
        <v>4</v>
      </c>
      <c r="E11" s="5">
        <f t="shared" si="0"/>
        <v>49.019607843137258</v>
      </c>
      <c r="F11" s="5"/>
      <c r="G11" s="5">
        <f t="shared" si="1"/>
        <v>5.0999999999999997E-2</v>
      </c>
      <c r="H11" s="20">
        <v>204</v>
      </c>
      <c r="I11" s="6">
        <f t="shared" si="2"/>
        <v>19.607843137254903</v>
      </c>
    </row>
    <row r="12" spans="1:9" ht="15">
      <c r="A12" s="7">
        <v>2</v>
      </c>
      <c r="B12" s="8">
        <v>0</v>
      </c>
      <c r="C12" s="8">
        <v>10000</v>
      </c>
      <c r="D12" s="8">
        <v>4</v>
      </c>
      <c r="E12" s="5">
        <f t="shared" si="0"/>
        <v>46.511627906976742</v>
      </c>
      <c r="F12" s="8"/>
      <c r="G12" s="5">
        <f t="shared" si="1"/>
        <v>0</v>
      </c>
      <c r="H12" s="21">
        <v>215</v>
      </c>
      <c r="I12" s="6">
        <f t="shared" si="2"/>
        <v>18.604651162790699</v>
      </c>
    </row>
    <row r="13" spans="1:9" ht="15">
      <c r="A13" s="4">
        <v>4</v>
      </c>
      <c r="B13" s="5">
        <v>1000</v>
      </c>
      <c r="C13" s="3">
        <v>200</v>
      </c>
      <c r="D13" s="5">
        <v>8</v>
      </c>
      <c r="E13" s="5">
        <f t="shared" si="0"/>
        <v>26.525198938992041</v>
      </c>
      <c r="F13" s="5"/>
      <c r="G13" s="5">
        <f t="shared" si="1"/>
        <v>0.9425</v>
      </c>
      <c r="H13" s="5">
        <v>7.54</v>
      </c>
      <c r="I13" s="6">
        <f t="shared" si="2"/>
        <v>1061.0079575596815</v>
      </c>
    </row>
    <row r="14" spans="1:9" ht="15">
      <c r="A14" s="4">
        <v>4</v>
      </c>
      <c r="B14" s="5">
        <v>100</v>
      </c>
      <c r="C14" s="3">
        <v>2000</v>
      </c>
      <c r="D14" s="5">
        <v>8</v>
      </c>
      <c r="E14" s="5">
        <f t="shared" si="0"/>
        <v>29.411764705882351</v>
      </c>
      <c r="F14" s="5"/>
      <c r="G14" s="5">
        <f t="shared" si="1"/>
        <v>0.85</v>
      </c>
      <c r="H14" s="20">
        <v>68</v>
      </c>
      <c r="I14" s="6">
        <f t="shared" si="2"/>
        <v>117.64705882352941</v>
      </c>
    </row>
    <row r="15" spans="1:9" ht="15">
      <c r="A15" s="4">
        <v>4</v>
      </c>
      <c r="B15" s="5">
        <v>10</v>
      </c>
      <c r="C15" s="3">
        <v>2000</v>
      </c>
      <c r="D15" s="5">
        <v>8</v>
      </c>
      <c r="E15" s="5">
        <f t="shared" si="0"/>
        <v>9.5693779904306222</v>
      </c>
      <c r="F15" s="5"/>
      <c r="G15" s="5">
        <f t="shared" si="1"/>
        <v>0.26124999999999998</v>
      </c>
      <c r="H15" s="20">
        <v>209</v>
      </c>
      <c r="I15" s="6">
        <f t="shared" si="2"/>
        <v>38.277511961722489</v>
      </c>
    </row>
    <row r="16" spans="1:9" ht="15">
      <c r="A16" s="4">
        <v>4</v>
      </c>
      <c r="B16" s="5">
        <v>1</v>
      </c>
      <c r="C16" s="3">
        <v>20000</v>
      </c>
      <c r="D16" s="5">
        <v>8</v>
      </c>
      <c r="E16" s="5">
        <f t="shared" si="0"/>
        <v>68.965517241379317</v>
      </c>
      <c r="F16" s="5"/>
      <c r="G16" s="5">
        <f t="shared" si="1"/>
        <v>3.6249999999999998E-2</v>
      </c>
      <c r="H16" s="20">
        <v>290</v>
      </c>
      <c r="I16" s="6">
        <f t="shared" si="2"/>
        <v>27.586206896551726</v>
      </c>
    </row>
    <row r="17" spans="1:9" ht="15">
      <c r="A17" s="7">
        <v>4</v>
      </c>
      <c r="B17" s="8">
        <v>0</v>
      </c>
      <c r="C17" s="8">
        <v>20000</v>
      </c>
      <c r="D17" s="8">
        <v>8</v>
      </c>
      <c r="E17" s="5">
        <f t="shared" si="0"/>
        <v>46.189376443418013</v>
      </c>
      <c r="F17" s="8"/>
      <c r="G17" s="5">
        <f t="shared" si="1"/>
        <v>0</v>
      </c>
      <c r="H17" s="21">
        <v>433</v>
      </c>
      <c r="I17" s="6">
        <f t="shared" si="2"/>
        <v>18.475750577367204</v>
      </c>
    </row>
    <row r="18" spans="1:9" ht="15">
      <c r="A18" s="4">
        <v>8</v>
      </c>
      <c r="B18" s="5">
        <v>1000</v>
      </c>
      <c r="C18" s="3">
        <v>400</v>
      </c>
      <c r="D18" s="5">
        <v>16</v>
      </c>
      <c r="E18" s="5">
        <f t="shared" si="0"/>
        <v>26.666666666666668</v>
      </c>
      <c r="F18" s="5"/>
      <c r="G18" s="5">
        <f t="shared" si="1"/>
        <v>0.9375</v>
      </c>
      <c r="H18" s="5">
        <v>15</v>
      </c>
      <c r="I18" s="6">
        <f t="shared" si="2"/>
        <v>1066.6666666666667</v>
      </c>
    </row>
    <row r="19" spans="1:9" ht="15">
      <c r="A19" s="4">
        <v>8</v>
      </c>
      <c r="B19" s="5">
        <v>100</v>
      </c>
      <c r="C19" s="3">
        <v>4000</v>
      </c>
      <c r="D19" s="5">
        <v>16</v>
      </c>
      <c r="E19" s="5">
        <f t="shared" si="0"/>
        <v>29.62962962962963</v>
      </c>
      <c r="F19" s="5"/>
      <c r="G19" s="5">
        <f t="shared" si="1"/>
        <v>0.84375</v>
      </c>
      <c r="H19" s="20">
        <v>135</v>
      </c>
      <c r="I19" s="6">
        <f t="shared" si="2"/>
        <v>118.51851851851852</v>
      </c>
    </row>
    <row r="20" spans="1:9" ht="15">
      <c r="A20" s="4">
        <v>8</v>
      </c>
      <c r="B20" s="5">
        <v>10</v>
      </c>
      <c r="C20" s="3">
        <v>4000</v>
      </c>
      <c r="D20" s="5">
        <v>16</v>
      </c>
      <c r="E20" s="5">
        <f t="shared" si="0"/>
        <v>6.8965517241379306</v>
      </c>
      <c r="F20" s="5"/>
      <c r="G20" s="5">
        <f t="shared" si="1"/>
        <v>0.36249999999999999</v>
      </c>
      <c r="H20" s="20">
        <v>580</v>
      </c>
      <c r="I20" s="6">
        <f t="shared" si="2"/>
        <v>27.586206896551722</v>
      </c>
    </row>
    <row r="21" spans="1:9" ht="15">
      <c r="A21" s="4">
        <v>8</v>
      </c>
      <c r="B21" s="5">
        <v>1</v>
      </c>
      <c r="C21" s="3">
        <v>40000</v>
      </c>
      <c r="D21" s="5">
        <v>16</v>
      </c>
      <c r="E21" s="5">
        <f t="shared" si="0"/>
        <v>47.961630695443645</v>
      </c>
      <c r="F21" s="5"/>
      <c r="G21" s="5">
        <f t="shared" si="1"/>
        <v>5.2124999999999998E-2</v>
      </c>
      <c r="H21" s="20">
        <v>834</v>
      </c>
      <c r="I21" s="6">
        <f t="shared" si="2"/>
        <v>19.184652278177456</v>
      </c>
    </row>
    <row r="22" spans="1:9" ht="15">
      <c r="A22" s="7">
        <v>8</v>
      </c>
      <c r="B22" s="8">
        <v>0</v>
      </c>
      <c r="C22" s="8">
        <v>40000</v>
      </c>
      <c r="D22" s="8">
        <v>16</v>
      </c>
      <c r="E22" s="5">
        <f t="shared" si="0"/>
        <v>46.674445740956827</v>
      </c>
      <c r="F22" s="8"/>
      <c r="G22" s="5">
        <f t="shared" si="1"/>
        <v>0</v>
      </c>
      <c r="H22" s="21">
        <v>857</v>
      </c>
      <c r="I22" s="6">
        <f t="shared" si="2"/>
        <v>18.669778296382731</v>
      </c>
    </row>
    <row r="23" spans="1:9" ht="15">
      <c r="A23" s="4">
        <v>16</v>
      </c>
      <c r="B23" s="5">
        <v>1000</v>
      </c>
      <c r="C23" s="3">
        <v>800</v>
      </c>
      <c r="D23" s="5">
        <v>32</v>
      </c>
      <c r="E23" s="5">
        <f t="shared" si="0"/>
        <v>26.666666666666668</v>
      </c>
      <c r="F23" s="5"/>
      <c r="G23" s="5">
        <f t="shared" si="1"/>
        <v>0.9375</v>
      </c>
      <c r="H23" s="5">
        <v>30</v>
      </c>
      <c r="I23" s="6">
        <f t="shared" si="2"/>
        <v>1066.6666666666667</v>
      </c>
    </row>
    <row r="24" spans="1:9" ht="15">
      <c r="A24" s="4">
        <v>16</v>
      </c>
      <c r="B24" s="5">
        <v>100</v>
      </c>
      <c r="C24" s="3">
        <v>8000</v>
      </c>
      <c r="D24" s="5">
        <v>32</v>
      </c>
      <c r="E24" s="5">
        <f t="shared" si="0"/>
        <v>29.520295202952031</v>
      </c>
      <c r="F24" s="5"/>
      <c r="G24" s="5">
        <f t="shared" si="1"/>
        <v>0.84687500000000004</v>
      </c>
      <c r="H24" s="20">
        <v>271</v>
      </c>
      <c r="I24" s="6">
        <f t="shared" si="2"/>
        <v>118.08118081180812</v>
      </c>
    </row>
    <row r="25" spans="1:9" ht="15">
      <c r="A25" s="4">
        <v>16</v>
      </c>
      <c r="B25" s="5">
        <v>10</v>
      </c>
      <c r="C25" s="3">
        <v>8000</v>
      </c>
      <c r="D25" s="5">
        <v>32</v>
      </c>
      <c r="E25" s="5">
        <f t="shared" si="0"/>
        <v>6.9025021570319245</v>
      </c>
      <c r="F25" s="5"/>
      <c r="G25" s="5">
        <f t="shared" si="1"/>
        <v>0.3621875</v>
      </c>
      <c r="H25" s="20">
        <v>1159</v>
      </c>
      <c r="I25" s="6">
        <f t="shared" si="2"/>
        <v>27.610008628127698</v>
      </c>
    </row>
    <row r="26" spans="1:9" ht="15">
      <c r="A26" s="4">
        <v>16</v>
      </c>
      <c r="B26" s="5">
        <v>1</v>
      </c>
      <c r="C26" s="3">
        <v>80000</v>
      </c>
      <c r="D26" s="5">
        <v>32</v>
      </c>
      <c r="E26" s="5">
        <f t="shared" si="0"/>
        <v>47.961630695443645</v>
      </c>
      <c r="F26" s="5"/>
      <c r="G26" s="5">
        <f t="shared" si="1"/>
        <v>5.2124999999999998E-2</v>
      </c>
      <c r="H26" s="20">
        <v>1668</v>
      </c>
      <c r="I26" s="6">
        <f t="shared" si="2"/>
        <v>19.184652278177456</v>
      </c>
    </row>
    <row r="27" spans="1:9" ht="15">
      <c r="A27" s="7">
        <v>16</v>
      </c>
      <c r="B27" s="8">
        <v>0</v>
      </c>
      <c r="C27" s="8">
        <v>80000</v>
      </c>
      <c r="D27" s="8">
        <v>32</v>
      </c>
      <c r="E27" s="5">
        <f t="shared" si="0"/>
        <v>46.457607433217191</v>
      </c>
      <c r="F27" s="8"/>
      <c r="G27" s="5">
        <f t="shared" si="1"/>
        <v>0</v>
      </c>
      <c r="H27" s="21">
        <v>1722</v>
      </c>
      <c r="I27" s="6">
        <f t="shared" si="2"/>
        <v>18.583042973286876</v>
      </c>
    </row>
    <row r="28" spans="1:9" ht="15">
      <c r="A28" s="4">
        <v>32</v>
      </c>
      <c r="B28" s="5">
        <v>1000</v>
      </c>
      <c r="C28" s="3">
        <v>1600</v>
      </c>
      <c r="D28" s="5">
        <v>64</v>
      </c>
      <c r="E28" s="5">
        <f t="shared" si="0"/>
        <v>26.666666666666668</v>
      </c>
      <c r="F28" s="5"/>
      <c r="G28" s="5">
        <f t="shared" si="1"/>
        <v>0.9375</v>
      </c>
      <c r="H28" s="5">
        <v>60</v>
      </c>
      <c r="I28" s="6">
        <f t="shared" si="2"/>
        <v>1066.6666666666667</v>
      </c>
    </row>
    <row r="29" spans="1:9" ht="15">
      <c r="A29" s="4">
        <v>32</v>
      </c>
      <c r="B29" s="5">
        <v>100</v>
      </c>
      <c r="C29" s="3">
        <v>16000</v>
      </c>
      <c r="D29" s="5">
        <v>64</v>
      </c>
      <c r="E29" s="5">
        <f t="shared" si="0"/>
        <v>29.57486136783734</v>
      </c>
      <c r="F29" s="5"/>
      <c r="G29" s="5">
        <f t="shared" si="1"/>
        <v>0.84531250000000002</v>
      </c>
      <c r="H29" s="20">
        <v>541</v>
      </c>
      <c r="I29" s="6">
        <f t="shared" si="2"/>
        <v>118.29944547134936</v>
      </c>
    </row>
    <row r="30" spans="1:9" ht="15">
      <c r="A30" s="4">
        <v>32</v>
      </c>
      <c r="B30" s="5">
        <v>10</v>
      </c>
      <c r="C30" s="3">
        <v>16000</v>
      </c>
      <c r="D30" s="5">
        <v>64</v>
      </c>
      <c r="E30" s="5">
        <f t="shared" si="0"/>
        <v>6.9747166521360073</v>
      </c>
      <c r="F30" s="5"/>
      <c r="G30" s="5">
        <f t="shared" si="1"/>
        <v>0.35843750000000002</v>
      </c>
      <c r="H30" s="20">
        <v>2294</v>
      </c>
      <c r="I30" s="6">
        <f t="shared" si="2"/>
        <v>27.898866608544029</v>
      </c>
    </row>
    <row r="31" spans="1:9" ht="15">
      <c r="A31" s="4">
        <v>32</v>
      </c>
      <c r="B31" s="5">
        <v>1</v>
      </c>
      <c r="C31" s="3">
        <v>160000</v>
      </c>
      <c r="D31" s="5">
        <v>64</v>
      </c>
      <c r="E31" s="5">
        <f t="shared" si="0"/>
        <v>48.004800480048004</v>
      </c>
      <c r="F31" s="5"/>
      <c r="G31" s="5">
        <f t="shared" si="1"/>
        <v>5.2078125000000003E-2</v>
      </c>
      <c r="H31" s="20">
        <v>3333</v>
      </c>
      <c r="I31" s="6">
        <f t="shared" si="2"/>
        <v>19.201920192019202</v>
      </c>
    </row>
    <row r="32" spans="1:9" ht="15">
      <c r="A32" s="7">
        <v>32</v>
      </c>
      <c r="B32" s="8">
        <v>0</v>
      </c>
      <c r="C32" s="8">
        <v>160000</v>
      </c>
      <c r="D32" s="8">
        <v>64</v>
      </c>
      <c r="E32" s="5">
        <f t="shared" si="0"/>
        <v>46.403712296983755</v>
      </c>
      <c r="F32" s="8"/>
      <c r="G32" s="5">
        <f t="shared" si="1"/>
        <v>0</v>
      </c>
      <c r="H32" s="21">
        <v>3448</v>
      </c>
      <c r="I32" s="6">
        <f t="shared" si="2"/>
        <v>18.561484918793504</v>
      </c>
    </row>
    <row r="33" spans="1:13" ht="15">
      <c r="A33" s="4">
        <v>64</v>
      </c>
      <c r="B33" s="5">
        <v>1000</v>
      </c>
      <c r="C33" s="3">
        <v>3200</v>
      </c>
      <c r="D33" s="5">
        <v>128</v>
      </c>
      <c r="E33" s="5">
        <f t="shared" si="0"/>
        <v>26.890756302521009</v>
      </c>
      <c r="F33" s="5"/>
      <c r="G33" s="5">
        <f t="shared" si="1"/>
        <v>0.9296875</v>
      </c>
      <c r="H33" s="5">
        <v>119</v>
      </c>
      <c r="I33" s="6">
        <f t="shared" si="2"/>
        <v>1075.6302521008404</v>
      </c>
    </row>
    <row r="34" spans="1:13" ht="15">
      <c r="A34" s="4">
        <v>64</v>
      </c>
      <c r="B34" s="5">
        <v>100</v>
      </c>
      <c r="C34" s="3">
        <v>12800</v>
      </c>
      <c r="D34" s="5">
        <v>128</v>
      </c>
      <c r="E34" s="5">
        <f t="shared" si="0"/>
        <v>12.018779342723004</v>
      </c>
      <c r="F34" s="5"/>
      <c r="G34" s="5">
        <f t="shared" si="1"/>
        <v>0.83203125</v>
      </c>
      <c r="H34" s="20">
        <v>1065</v>
      </c>
      <c r="I34" s="6">
        <f t="shared" si="2"/>
        <v>120.18779342723005</v>
      </c>
    </row>
    <row r="35" spans="1:13" ht="15">
      <c r="A35" s="4">
        <v>64</v>
      </c>
      <c r="B35" s="5">
        <v>10</v>
      </c>
      <c r="C35" s="3">
        <v>12800</v>
      </c>
      <c r="D35" s="5">
        <v>128</v>
      </c>
      <c r="E35" s="5">
        <f t="shared" si="0"/>
        <v>3.007518796992481</v>
      </c>
      <c r="F35" s="5"/>
      <c r="G35" s="5">
        <f t="shared" si="1"/>
        <v>0.33250000000000002</v>
      </c>
      <c r="H35" s="20">
        <v>4256</v>
      </c>
      <c r="I35" s="6">
        <f t="shared" si="2"/>
        <v>30.075187969924812</v>
      </c>
    </row>
    <row r="36" spans="1:13" ht="15">
      <c r="A36" s="4">
        <v>64</v>
      </c>
      <c r="B36" s="5">
        <v>1</v>
      </c>
      <c r="C36" s="3">
        <v>128000</v>
      </c>
      <c r="D36" s="5">
        <v>128</v>
      </c>
      <c r="E36" s="5">
        <f t="shared" si="0"/>
        <v>18.993916011277637</v>
      </c>
      <c r="F36" s="5"/>
      <c r="G36" s="5">
        <f t="shared" si="1"/>
        <v>5.2648437499999999E-2</v>
      </c>
      <c r="H36" s="20">
        <v>6739</v>
      </c>
      <c r="I36" s="6">
        <f t="shared" si="2"/>
        <v>18.993916011277637</v>
      </c>
    </row>
    <row r="37" spans="1:13" ht="15">
      <c r="A37" s="7">
        <v>64</v>
      </c>
      <c r="B37" s="8">
        <v>0</v>
      </c>
      <c r="C37" s="8">
        <v>128000</v>
      </c>
      <c r="D37" s="8">
        <v>128</v>
      </c>
      <c r="E37" s="5">
        <f t="shared" si="0"/>
        <v>18.367054096714018</v>
      </c>
      <c r="F37" s="8"/>
      <c r="G37" s="5">
        <f t="shared" si="1"/>
        <v>0</v>
      </c>
      <c r="H37" s="21">
        <v>6969</v>
      </c>
      <c r="I37" s="6">
        <f t="shared" si="2"/>
        <v>18.367054096714018</v>
      </c>
    </row>
    <row r="38" spans="1:13" ht="15">
      <c r="A38" s="4">
        <v>128</v>
      </c>
      <c r="B38" s="5">
        <v>1000</v>
      </c>
      <c r="C38" s="3">
        <v>6400</v>
      </c>
      <c r="D38" s="5">
        <v>256</v>
      </c>
      <c r="E38" s="5">
        <f t="shared" si="0"/>
        <v>27.350427350427349</v>
      </c>
      <c r="F38" s="5"/>
      <c r="G38" s="5">
        <f t="shared" si="1"/>
        <v>0.9140625</v>
      </c>
      <c r="H38" s="5">
        <v>234</v>
      </c>
      <c r="I38" s="6">
        <f t="shared" si="2"/>
        <v>1094.017094017094</v>
      </c>
    </row>
    <row r="39" spans="1:13" ht="15">
      <c r="A39" s="4">
        <v>128</v>
      </c>
      <c r="B39" s="5">
        <v>100</v>
      </c>
      <c r="C39" s="3">
        <v>25600</v>
      </c>
      <c r="D39" s="5">
        <v>256</v>
      </c>
      <c r="E39" s="5">
        <f t="shared" si="0"/>
        <v>82.58064516129032</v>
      </c>
      <c r="F39" s="5"/>
      <c r="G39" s="5">
        <f t="shared" si="1"/>
        <v>0.12109375</v>
      </c>
      <c r="H39" s="20">
        <v>310</v>
      </c>
      <c r="I39" s="6">
        <f t="shared" si="2"/>
        <v>825.80645161290317</v>
      </c>
    </row>
    <row r="40" spans="1:13" ht="15">
      <c r="A40" s="4">
        <v>128</v>
      </c>
      <c r="B40" s="5">
        <v>10</v>
      </c>
      <c r="C40" s="3">
        <v>25600</v>
      </c>
      <c r="D40" s="5">
        <v>256</v>
      </c>
      <c r="E40" s="5">
        <f t="shared" si="0"/>
        <v>23.925233644859812</v>
      </c>
      <c r="F40" s="5"/>
      <c r="G40" s="5">
        <f t="shared" si="1"/>
        <v>4.1796874999999997E-2</v>
      </c>
      <c r="H40" s="20">
        <v>1070</v>
      </c>
      <c r="I40" s="6">
        <f t="shared" si="2"/>
        <v>239.2523364485981</v>
      </c>
    </row>
    <row r="41" spans="1:13" ht="15">
      <c r="A41" s="4">
        <v>128</v>
      </c>
      <c r="B41" s="5">
        <v>1</v>
      </c>
      <c r="C41" s="3">
        <v>192000</v>
      </c>
      <c r="D41" s="5">
        <v>256</v>
      </c>
      <c r="E41" s="5">
        <f t="shared" si="0"/>
        <v>99.430346970481622</v>
      </c>
      <c r="F41" s="5"/>
      <c r="G41" s="5">
        <f t="shared" si="1"/>
        <v>7.5429687500000002E-3</v>
      </c>
      <c r="H41" s="20">
        <v>1931</v>
      </c>
      <c r="I41" s="6">
        <f t="shared" si="2"/>
        <v>132.57379596064217</v>
      </c>
      <c r="M41" s="31"/>
    </row>
    <row r="42" spans="1:13" ht="15">
      <c r="A42" s="7">
        <v>128</v>
      </c>
      <c r="B42" s="8">
        <v>0</v>
      </c>
      <c r="C42" s="8">
        <v>192000</v>
      </c>
      <c r="D42" s="8">
        <v>256</v>
      </c>
      <c r="E42" s="5">
        <f t="shared" si="0"/>
        <v>95.665171898355752</v>
      </c>
      <c r="F42" s="8"/>
      <c r="G42" s="5">
        <f t="shared" si="1"/>
        <v>0</v>
      </c>
      <c r="H42" s="21">
        <v>2007</v>
      </c>
      <c r="I42" s="6">
        <f t="shared" si="2"/>
        <v>127.553562531141</v>
      </c>
    </row>
  </sheetData>
  <sortState ref="H38:H42">
    <sortCondition ref="H3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I3" sqref="I3"/>
    </sheetView>
  </sheetViews>
  <sheetFormatPr defaultColWidth="8.85546875" defaultRowHeight="14.45"/>
  <cols>
    <col min="1" max="1" width="13.7109375" style="3" customWidth="1"/>
    <col min="2" max="3" width="18.28515625" style="3" customWidth="1"/>
    <col min="4" max="4" width="18.42578125" style="3" customWidth="1"/>
    <col min="5" max="5" width="14.28515625" style="3" customWidth="1"/>
    <col min="6" max="6" width="18.7109375" style="3" customWidth="1"/>
    <col min="7" max="7" width="13.42578125" style="3" customWidth="1"/>
    <col min="8" max="8" width="18.7109375" style="3" customWidth="1"/>
    <col min="9" max="9" width="14.5703125" style="3" customWidth="1"/>
    <col min="10" max="16384" width="8.85546875" style="3"/>
  </cols>
  <sheetData>
    <row r="1" spans="1:9" ht="26.1">
      <c r="A1" s="19" t="s">
        <v>13</v>
      </c>
      <c r="B1" s="19"/>
    </row>
    <row r="2" spans="1:9" ht="15">
      <c r="A2" s="10" t="s">
        <v>1</v>
      </c>
      <c r="B2" s="11" t="s">
        <v>2</v>
      </c>
      <c r="C2" s="12" t="s">
        <v>3</v>
      </c>
      <c r="D2" s="13" t="s">
        <v>4</v>
      </c>
      <c r="E2" s="14" t="s">
        <v>14</v>
      </c>
      <c r="F2" s="15" t="s">
        <v>15</v>
      </c>
      <c r="G2" s="18" t="s">
        <v>7</v>
      </c>
      <c r="H2" s="16" t="s">
        <v>8</v>
      </c>
      <c r="I2" s="17" t="s">
        <v>10</v>
      </c>
    </row>
    <row r="3" spans="1:9" ht="15">
      <c r="A3" s="4">
        <v>1</v>
      </c>
      <c r="B3" s="5">
        <v>1000</v>
      </c>
      <c r="C3" s="5">
        <v>50</v>
      </c>
      <c r="D3" s="5">
        <v>2</v>
      </c>
      <c r="E3" s="5">
        <v>25380</v>
      </c>
      <c r="F3" s="5">
        <f t="shared" ref="F3:F20" si="0">E3/C3</f>
        <v>507.6</v>
      </c>
      <c r="G3" s="5">
        <f>C3*B3/E3/D3</f>
        <v>0.9850275807722616</v>
      </c>
      <c r="H3" s="5">
        <f t="shared" ref="H3:H20" si="1">C3/E3*1000</f>
        <v>1.970055161544523</v>
      </c>
      <c r="I3" s="6">
        <f>E3/C3*D3</f>
        <v>1015.2</v>
      </c>
    </row>
    <row r="4" spans="1:9" ht="15">
      <c r="A4" s="4">
        <v>1</v>
      </c>
      <c r="B4" s="5">
        <v>100</v>
      </c>
      <c r="C4" s="5">
        <v>500</v>
      </c>
      <c r="D4" s="5">
        <v>2</v>
      </c>
      <c r="E4" s="20">
        <v>25420</v>
      </c>
      <c r="F4" s="5">
        <f t="shared" si="0"/>
        <v>50.84</v>
      </c>
      <c r="G4" s="5">
        <f>C4*B4/E4/D4</f>
        <v>0.98347757671125102</v>
      </c>
      <c r="H4" s="5">
        <f t="shared" si="1"/>
        <v>19.669551534225018</v>
      </c>
      <c r="I4" s="6">
        <f t="shared" ref="I4:I34" si="2">E4/C4*D4</f>
        <v>101.68</v>
      </c>
    </row>
    <row r="5" spans="1:9" ht="15">
      <c r="A5" s="4">
        <v>1</v>
      </c>
      <c r="B5" s="5">
        <v>10</v>
      </c>
      <c r="C5" s="5">
        <v>5000</v>
      </c>
      <c r="D5" s="5">
        <v>2</v>
      </c>
      <c r="E5" s="20">
        <v>26394</v>
      </c>
      <c r="F5" s="5">
        <f t="shared" si="0"/>
        <v>5.2788000000000004</v>
      </c>
      <c r="G5" s="5">
        <f>C5*B5/E5/D5</f>
        <v>0.9471849662802152</v>
      </c>
      <c r="H5" s="5">
        <f t="shared" si="1"/>
        <v>189.43699325604305</v>
      </c>
      <c r="I5" s="6">
        <f t="shared" si="2"/>
        <v>10.557600000000001</v>
      </c>
    </row>
    <row r="6" spans="1:9" ht="15">
      <c r="A6" s="4">
        <v>1</v>
      </c>
      <c r="B6" s="5">
        <v>1</v>
      </c>
      <c r="C6" s="5">
        <v>50000</v>
      </c>
      <c r="D6" s="5">
        <v>2</v>
      </c>
      <c r="E6" s="20">
        <v>34937</v>
      </c>
      <c r="F6" s="5">
        <f t="shared" si="0"/>
        <v>0.69874000000000003</v>
      </c>
      <c r="G6" s="5">
        <f>C6*B6/E6/D6</f>
        <v>0.71557374703036891</v>
      </c>
      <c r="H6" s="5">
        <f t="shared" si="1"/>
        <v>1431.1474940607379</v>
      </c>
      <c r="I6" s="6">
        <f t="shared" si="2"/>
        <v>1.3974800000000001</v>
      </c>
    </row>
    <row r="7" spans="1:9" ht="15">
      <c r="A7" s="7">
        <v>1</v>
      </c>
      <c r="B7" s="8">
        <v>0</v>
      </c>
      <c r="C7" s="8">
        <v>50706</v>
      </c>
      <c r="D7" s="8">
        <v>2</v>
      </c>
      <c r="E7" s="8">
        <f>21708</f>
        <v>21708</v>
      </c>
      <c r="F7" s="8">
        <f t="shared" si="0"/>
        <v>0.4281150159744409</v>
      </c>
      <c r="G7" s="5"/>
      <c r="H7" s="8">
        <f t="shared" si="1"/>
        <v>2335.8208955223881</v>
      </c>
      <c r="I7" s="6">
        <f t="shared" si="2"/>
        <v>0.85623003194888181</v>
      </c>
    </row>
    <row r="8" spans="1:9" ht="15">
      <c r="A8" s="4">
        <v>2</v>
      </c>
      <c r="B8" s="5">
        <v>1000</v>
      </c>
      <c r="C8" s="5">
        <f>2*C3</f>
        <v>100</v>
      </c>
      <c r="D8" s="5">
        <v>4</v>
      </c>
      <c r="E8" s="5">
        <v>25363</v>
      </c>
      <c r="F8" s="5">
        <f t="shared" si="0"/>
        <v>253.63</v>
      </c>
      <c r="G8" s="5">
        <f>C8*B8/E8/D8</f>
        <v>0.98568781295588059</v>
      </c>
      <c r="H8" s="5">
        <f t="shared" si="1"/>
        <v>3.9427512518235224</v>
      </c>
      <c r="I8" s="6">
        <f t="shared" si="2"/>
        <v>1014.52</v>
      </c>
    </row>
    <row r="9" spans="1:9" ht="15">
      <c r="A9" s="4">
        <v>2</v>
      </c>
      <c r="B9" s="5">
        <v>100</v>
      </c>
      <c r="C9" s="5">
        <f>2*C4</f>
        <v>1000</v>
      </c>
      <c r="D9" s="5">
        <v>4</v>
      </c>
      <c r="E9" s="20">
        <v>25473</v>
      </c>
      <c r="F9" s="5">
        <f t="shared" si="0"/>
        <v>25.472999999999999</v>
      </c>
      <c r="G9" s="5">
        <f>C9*B9/E9/D9</f>
        <v>0.98143131943626583</v>
      </c>
      <c r="H9" s="5">
        <f t="shared" si="1"/>
        <v>39.257252777450631</v>
      </c>
      <c r="I9" s="6">
        <f t="shared" si="2"/>
        <v>101.892</v>
      </c>
    </row>
    <row r="10" spans="1:9" ht="15">
      <c r="A10" s="4">
        <v>2</v>
      </c>
      <c r="B10" s="5">
        <v>10</v>
      </c>
      <c r="C10" s="5">
        <v>10000</v>
      </c>
      <c r="D10" s="5">
        <v>4</v>
      </c>
      <c r="E10" s="20">
        <v>26826</v>
      </c>
      <c r="F10" s="5">
        <f t="shared" si="0"/>
        <v>2.6825999999999999</v>
      </c>
      <c r="G10" s="5">
        <f>C10*B10/E10/D10</f>
        <v>0.93193170804443448</v>
      </c>
      <c r="H10" s="5">
        <f t="shared" si="1"/>
        <v>372.77268321777382</v>
      </c>
      <c r="I10" s="6">
        <f t="shared" si="2"/>
        <v>10.730399999999999</v>
      </c>
    </row>
    <row r="11" spans="1:9" ht="15">
      <c r="A11" s="4">
        <v>2</v>
      </c>
      <c r="B11" s="5">
        <v>1</v>
      </c>
      <c r="C11" s="5">
        <v>101140</v>
      </c>
      <c r="D11" s="5">
        <v>4</v>
      </c>
      <c r="E11" s="20">
        <v>37972</v>
      </c>
      <c r="F11" s="5">
        <f t="shared" si="0"/>
        <v>0.37543998418034408</v>
      </c>
      <c r="G11" s="5">
        <f>C11*B11/E11/D11</f>
        <v>0.66588538923417251</v>
      </c>
      <c r="H11" s="5">
        <f t="shared" si="1"/>
        <v>2663.5415569366901</v>
      </c>
      <c r="I11" s="6">
        <f t="shared" si="2"/>
        <v>1.5017599367213763</v>
      </c>
    </row>
    <row r="12" spans="1:9" ht="15">
      <c r="A12" s="7">
        <v>2</v>
      </c>
      <c r="B12" s="8">
        <v>0</v>
      </c>
      <c r="C12" s="8">
        <v>100218</v>
      </c>
      <c r="D12" s="8">
        <v>4</v>
      </c>
      <c r="E12" s="21">
        <v>26515</v>
      </c>
      <c r="F12" s="8">
        <f t="shared" si="0"/>
        <v>0.26457323035781993</v>
      </c>
      <c r="G12" s="5"/>
      <c r="H12" s="8">
        <f t="shared" si="1"/>
        <v>3779.6718838393363</v>
      </c>
      <c r="I12" s="6">
        <f t="shared" si="2"/>
        <v>1.0582929214312797</v>
      </c>
    </row>
    <row r="13" spans="1:9" ht="15">
      <c r="A13" s="4">
        <v>4</v>
      </c>
      <c r="B13" s="5">
        <v>1000</v>
      </c>
      <c r="C13" s="5">
        <f>2*C8</f>
        <v>200</v>
      </c>
      <c r="D13" s="5">
        <v>8</v>
      </c>
      <c r="E13" s="5">
        <v>25386</v>
      </c>
      <c r="F13" s="5">
        <f t="shared" si="0"/>
        <v>126.93</v>
      </c>
      <c r="G13" s="5">
        <f>C13*B13/E13/D13</f>
        <v>0.98479476877018834</v>
      </c>
      <c r="H13" s="5">
        <f t="shared" si="1"/>
        <v>7.8783581501615068</v>
      </c>
      <c r="I13" s="6">
        <f t="shared" si="2"/>
        <v>1015.44</v>
      </c>
    </row>
    <row r="14" spans="1:9" ht="15">
      <c r="A14" s="4">
        <v>4</v>
      </c>
      <c r="B14" s="5">
        <v>100</v>
      </c>
      <c r="C14" s="5">
        <f>2*C9</f>
        <v>2000</v>
      </c>
      <c r="D14" s="5">
        <v>8</v>
      </c>
      <c r="E14" s="20">
        <v>25549</v>
      </c>
      <c r="F14" s="5">
        <f t="shared" si="0"/>
        <v>12.7745</v>
      </c>
      <c r="G14" s="5">
        <f>C14*B14/E14/D14</f>
        <v>0.97851187913421267</v>
      </c>
      <c r="H14" s="5">
        <f t="shared" si="1"/>
        <v>78.280950330737014</v>
      </c>
      <c r="I14" s="6">
        <f t="shared" si="2"/>
        <v>102.196</v>
      </c>
    </row>
    <row r="15" spans="1:9" ht="15">
      <c r="A15" s="4">
        <v>4</v>
      </c>
      <c r="B15" s="5">
        <v>10</v>
      </c>
      <c r="C15" s="5">
        <v>20323</v>
      </c>
      <c r="D15" s="5">
        <v>8</v>
      </c>
      <c r="E15" s="20">
        <v>27380</v>
      </c>
      <c r="F15" s="5">
        <f t="shared" si="0"/>
        <v>1.3472420410372485</v>
      </c>
      <c r="G15" s="5">
        <f>C15*B15/E15/D15</f>
        <v>0.92782140248356459</v>
      </c>
      <c r="H15" s="5">
        <f t="shared" si="1"/>
        <v>742.25712198685164</v>
      </c>
      <c r="I15" s="6">
        <f t="shared" si="2"/>
        <v>10.777936328297988</v>
      </c>
    </row>
    <row r="16" spans="1:9" ht="15">
      <c r="A16" s="4">
        <v>4</v>
      </c>
      <c r="B16" s="5">
        <v>1</v>
      </c>
      <c r="C16" s="5">
        <v>202473</v>
      </c>
      <c r="D16" s="5">
        <v>8</v>
      </c>
      <c r="E16" s="20">
        <v>51407</v>
      </c>
      <c r="F16" s="5">
        <f t="shared" si="0"/>
        <v>0.25389558113921362</v>
      </c>
      <c r="G16" s="5">
        <f>C16*B16/E16/D16</f>
        <v>0.49232837940358315</v>
      </c>
      <c r="H16" s="5">
        <f t="shared" si="1"/>
        <v>3938.6270352286651</v>
      </c>
      <c r="I16" s="6">
        <f t="shared" si="2"/>
        <v>2.031164649113709</v>
      </c>
    </row>
    <row r="17" spans="1:9" ht="15">
      <c r="A17" s="7">
        <v>4</v>
      </c>
      <c r="B17" s="8">
        <v>0</v>
      </c>
      <c r="C17" s="8">
        <v>202288</v>
      </c>
      <c r="D17" s="8">
        <v>8</v>
      </c>
      <c r="E17" s="21">
        <v>44345</v>
      </c>
      <c r="F17" s="8">
        <f t="shared" si="0"/>
        <v>0.21921715573835324</v>
      </c>
      <c r="G17" s="5"/>
      <c r="H17" s="8">
        <f t="shared" si="1"/>
        <v>4561.6867741571768</v>
      </c>
      <c r="I17" s="6">
        <f t="shared" si="2"/>
        <v>1.7537372459068259</v>
      </c>
    </row>
    <row r="18" spans="1:9" ht="15">
      <c r="A18" s="4">
        <v>8</v>
      </c>
      <c r="B18" s="5">
        <v>1000</v>
      </c>
      <c r="C18" s="5">
        <f>2*C13</f>
        <v>400</v>
      </c>
      <c r="D18" s="5">
        <v>16</v>
      </c>
      <c r="E18" s="5">
        <v>25430</v>
      </c>
      <c r="F18" s="5">
        <f t="shared" si="0"/>
        <v>63.575000000000003</v>
      </c>
      <c r="G18" s="5">
        <f>C18*B18/E18/D18</f>
        <v>0.98309083759339366</v>
      </c>
      <c r="H18" s="5">
        <f t="shared" si="1"/>
        <v>15.729453401494297</v>
      </c>
      <c r="I18" s="6">
        <f t="shared" si="2"/>
        <v>1017.2</v>
      </c>
    </row>
    <row r="19" spans="1:9" ht="15">
      <c r="A19" s="4">
        <v>8</v>
      </c>
      <c r="B19" s="5">
        <v>100</v>
      </c>
      <c r="C19" s="5">
        <f>2*C14</f>
        <v>4000</v>
      </c>
      <c r="D19" s="5">
        <v>16</v>
      </c>
      <c r="E19" s="20">
        <v>25632</v>
      </c>
      <c r="F19" s="5">
        <f t="shared" si="0"/>
        <v>6.4080000000000004</v>
      </c>
      <c r="G19" s="5">
        <f>C19*B19/E19/D19</f>
        <v>0.97534332084893882</v>
      </c>
      <c r="H19" s="5">
        <f t="shared" si="1"/>
        <v>156.05493133583022</v>
      </c>
      <c r="I19" s="6">
        <f t="shared" si="2"/>
        <v>102.52800000000001</v>
      </c>
    </row>
    <row r="20" spans="1:9" ht="15">
      <c r="A20" s="4">
        <v>8</v>
      </c>
      <c r="B20" s="5">
        <v>10</v>
      </c>
      <c r="C20" s="5">
        <v>40665</v>
      </c>
      <c r="D20" s="5">
        <v>16</v>
      </c>
      <c r="E20" s="20">
        <v>27973</v>
      </c>
      <c r="F20" s="5">
        <f t="shared" si="0"/>
        <v>0.68788884790360261</v>
      </c>
      <c r="G20" s="5">
        <f>C20*B20/E20/D20</f>
        <v>0.90857702069853075</v>
      </c>
      <c r="H20" s="5">
        <f t="shared" si="1"/>
        <v>1453.723233117649</v>
      </c>
      <c r="I20" s="6">
        <f t="shared" si="2"/>
        <v>11.006221566457642</v>
      </c>
    </row>
    <row r="21" spans="1:9" ht="15">
      <c r="A21" s="4">
        <v>8</v>
      </c>
      <c r="B21" s="5">
        <v>1</v>
      </c>
      <c r="C21" s="5">
        <v>0</v>
      </c>
      <c r="D21" s="5">
        <v>16</v>
      </c>
      <c r="E21" s="5"/>
      <c r="F21" s="5"/>
      <c r="G21" s="5"/>
      <c r="H21" s="5"/>
      <c r="I21" s="6"/>
    </row>
    <row r="22" spans="1:9" ht="15">
      <c r="A22" s="7">
        <v>8</v>
      </c>
      <c r="B22" s="8">
        <v>0</v>
      </c>
      <c r="C22" s="8">
        <v>0</v>
      </c>
      <c r="D22" s="8">
        <v>16</v>
      </c>
      <c r="E22" s="8"/>
      <c r="F22" s="8"/>
      <c r="G22" s="5"/>
      <c r="H22" s="8"/>
      <c r="I22" s="6"/>
    </row>
    <row r="23" spans="1:9" ht="15">
      <c r="A23" s="4">
        <v>16</v>
      </c>
      <c r="B23" s="5">
        <v>1000</v>
      </c>
      <c r="C23" s="5">
        <f>2*C18</f>
        <v>800</v>
      </c>
      <c r="D23" s="5">
        <v>32</v>
      </c>
      <c r="E23" s="5">
        <v>25476</v>
      </c>
      <c r="F23" s="5">
        <f>E23/C23</f>
        <v>31.844999999999999</v>
      </c>
      <c r="G23" s="5">
        <f>C23*B23/E23/D23</f>
        <v>0.98131574815512634</v>
      </c>
      <c r="H23" s="5">
        <f>C23/E23*1000</f>
        <v>31.402103940964043</v>
      </c>
      <c r="I23" s="6">
        <f t="shared" si="2"/>
        <v>1019.04</v>
      </c>
    </row>
    <row r="24" spans="1:9" ht="15">
      <c r="A24" s="4">
        <v>16</v>
      </c>
      <c r="B24" s="5">
        <v>100</v>
      </c>
      <c r="C24" s="5">
        <f>2*C19</f>
        <v>8000</v>
      </c>
      <c r="D24" s="5">
        <v>32</v>
      </c>
      <c r="E24" s="20">
        <v>25851</v>
      </c>
      <c r="F24" s="5">
        <f>E24/C24</f>
        <v>3.2313749999999999</v>
      </c>
      <c r="G24" s="5">
        <f>C24*B24/E24/D24</f>
        <v>0.96708057715368845</v>
      </c>
      <c r="H24" s="5">
        <f>C24/E24*1000</f>
        <v>309.46578468918028</v>
      </c>
      <c r="I24" s="6">
        <f t="shared" si="2"/>
        <v>103.404</v>
      </c>
    </row>
    <row r="25" spans="1:9" ht="15">
      <c r="A25" s="4">
        <v>16</v>
      </c>
      <c r="B25" s="5">
        <v>10</v>
      </c>
      <c r="C25" s="5">
        <v>81065</v>
      </c>
      <c r="D25" s="5">
        <v>32</v>
      </c>
      <c r="E25" s="20">
        <v>29480</v>
      </c>
      <c r="F25" s="5">
        <f>E25/C25</f>
        <v>0.36365879232714488</v>
      </c>
      <c r="G25" s="5">
        <f>C25*B25/E25/D25</f>
        <v>0.85932199796472186</v>
      </c>
      <c r="H25" s="5">
        <f>C25/E25*1000</f>
        <v>2749.8303934871096</v>
      </c>
      <c r="I25" s="6">
        <f t="shared" si="2"/>
        <v>11.637081354468636</v>
      </c>
    </row>
    <row r="26" spans="1:9" ht="15">
      <c r="A26" s="4">
        <v>16</v>
      </c>
      <c r="B26" s="5">
        <v>1</v>
      </c>
      <c r="C26" s="5">
        <f>2*C21</f>
        <v>0</v>
      </c>
      <c r="D26" s="5">
        <v>32</v>
      </c>
      <c r="E26" s="5"/>
      <c r="F26" s="5"/>
      <c r="G26" s="5"/>
      <c r="H26" s="5"/>
      <c r="I26" s="6"/>
    </row>
    <row r="27" spans="1:9" ht="15">
      <c r="A27" s="7">
        <v>16</v>
      </c>
      <c r="B27" s="8">
        <v>0</v>
      </c>
      <c r="C27" s="8">
        <f>2*C22</f>
        <v>0</v>
      </c>
      <c r="D27" s="8">
        <v>32</v>
      </c>
      <c r="E27" s="8"/>
      <c r="F27" s="8"/>
      <c r="G27" s="5"/>
      <c r="H27" s="8"/>
      <c r="I27" s="6"/>
    </row>
    <row r="28" spans="1:9" ht="15">
      <c r="A28" s="4">
        <v>32</v>
      </c>
      <c r="B28" s="5">
        <v>1000</v>
      </c>
      <c r="C28" s="5">
        <f>2*C23</f>
        <v>1600</v>
      </c>
      <c r="D28" s="5">
        <v>64</v>
      </c>
      <c r="E28" s="5">
        <v>25476</v>
      </c>
      <c r="F28" s="5">
        <f>E28/C28</f>
        <v>15.922499999999999</v>
      </c>
      <c r="G28" s="5">
        <f>C28*B28/E28/D28</f>
        <v>0.98131574815512634</v>
      </c>
      <c r="H28" s="5">
        <f>C28/E28*1000</f>
        <v>62.804207881928086</v>
      </c>
      <c r="I28" s="6">
        <f t="shared" si="2"/>
        <v>1019.04</v>
      </c>
    </row>
    <row r="29" spans="1:9" ht="15">
      <c r="A29" s="4">
        <v>32</v>
      </c>
      <c r="B29" s="5">
        <v>100</v>
      </c>
      <c r="C29" s="5">
        <v>16098</v>
      </c>
      <c r="D29" s="5">
        <v>64</v>
      </c>
      <c r="E29" s="20">
        <v>25851</v>
      </c>
      <c r="F29" s="5">
        <f>E29/C29</f>
        <v>1.6058516585911293</v>
      </c>
      <c r="G29" s="5">
        <f>C29*B29/E29/D29</f>
        <v>0.97300394568875481</v>
      </c>
      <c r="H29" s="5">
        <f>C29/E29*1000</f>
        <v>622.72252524080307</v>
      </c>
      <c r="I29" s="6">
        <f t="shared" si="2"/>
        <v>102.77450614983228</v>
      </c>
    </row>
    <row r="30" spans="1:9" ht="15">
      <c r="A30" s="4">
        <v>32</v>
      </c>
      <c r="B30" s="5">
        <v>10</v>
      </c>
      <c r="C30" s="5">
        <v>162082</v>
      </c>
      <c r="D30" s="5">
        <v>64</v>
      </c>
      <c r="E30" s="20">
        <v>29480</v>
      </c>
      <c r="F30" s="5">
        <f>E30/C30</f>
        <v>0.1818832442837576</v>
      </c>
      <c r="G30" s="5">
        <f>C30*B30/E30/D30</f>
        <v>0.85906758819538676</v>
      </c>
      <c r="H30" s="5">
        <f>C30/E30*1000</f>
        <v>5498.0325644504746</v>
      </c>
      <c r="I30" s="6">
        <f t="shared" si="2"/>
        <v>11.640527634160486</v>
      </c>
    </row>
    <row r="31" spans="1:9" ht="15">
      <c r="A31" s="4">
        <v>32</v>
      </c>
      <c r="B31" s="5">
        <v>1</v>
      </c>
      <c r="C31" s="5">
        <f>2*C26</f>
        <v>0</v>
      </c>
      <c r="D31" s="5">
        <v>64</v>
      </c>
      <c r="E31" s="5"/>
      <c r="F31" s="5"/>
      <c r="G31" s="5"/>
      <c r="H31" s="5"/>
      <c r="I31" s="6"/>
    </row>
    <row r="32" spans="1:9" ht="15">
      <c r="A32" s="7">
        <v>32</v>
      </c>
      <c r="B32" s="8">
        <v>0</v>
      </c>
      <c r="C32" s="8">
        <f>2*C27</f>
        <v>0</v>
      </c>
      <c r="D32" s="8">
        <v>64</v>
      </c>
      <c r="E32" s="8"/>
      <c r="F32" s="8"/>
      <c r="G32" s="5"/>
      <c r="H32" s="8"/>
      <c r="I32" s="6"/>
    </row>
    <row r="33" spans="1:9" ht="15">
      <c r="A33" s="4">
        <v>64</v>
      </c>
      <c r="B33" s="5">
        <v>1000</v>
      </c>
      <c r="C33" s="5">
        <f>2*C28</f>
        <v>3200</v>
      </c>
      <c r="D33" s="5">
        <v>128</v>
      </c>
      <c r="E33" s="5">
        <v>26606</v>
      </c>
      <c r="F33" s="5">
        <f>E33/C33</f>
        <v>8.3143750000000001</v>
      </c>
      <c r="G33" s="5">
        <f>C33*B33/E33/D33</f>
        <v>0.93963767571224532</v>
      </c>
      <c r="H33" s="5">
        <f>C33/E33*1000</f>
        <v>120.27362249116742</v>
      </c>
      <c r="I33" s="6">
        <f t="shared" si="2"/>
        <v>1064.24</v>
      </c>
    </row>
    <row r="34" spans="1:9" ht="15">
      <c r="A34" s="4">
        <v>64</v>
      </c>
      <c r="B34" s="5">
        <v>100</v>
      </c>
      <c r="C34" s="5">
        <v>32369</v>
      </c>
      <c r="D34" s="5">
        <v>128</v>
      </c>
      <c r="E34" s="20">
        <v>27466</v>
      </c>
      <c r="F34" s="5">
        <f>E34/C34</f>
        <v>0.84852791250888193</v>
      </c>
      <c r="G34" s="5">
        <f>C34*B34/E34/D34</f>
        <v>0.92071219871841548</v>
      </c>
      <c r="H34" s="5">
        <f>C34/E34*1000</f>
        <v>1178.5116143595717</v>
      </c>
      <c r="I34" s="6">
        <f t="shared" si="2"/>
        <v>108.61157280113689</v>
      </c>
    </row>
    <row r="35" spans="1:9" ht="15">
      <c r="A35" s="4">
        <v>64</v>
      </c>
      <c r="B35" s="5">
        <v>10</v>
      </c>
      <c r="C35" s="5">
        <v>211535</v>
      </c>
      <c r="D35" s="5">
        <v>128</v>
      </c>
      <c r="E35" s="20"/>
      <c r="F35" s="5"/>
      <c r="G35" s="5"/>
      <c r="H35" s="5"/>
      <c r="I35" s="6"/>
    </row>
    <row r="36" spans="1:9" ht="15">
      <c r="A36" s="4">
        <v>64</v>
      </c>
      <c r="B36" s="5">
        <v>1</v>
      </c>
      <c r="C36" s="5">
        <f t="shared" ref="C36:C42" si="3">2*C31</f>
        <v>0</v>
      </c>
      <c r="D36" s="5">
        <v>128</v>
      </c>
      <c r="E36" s="5"/>
      <c r="F36" s="5"/>
      <c r="G36" s="5"/>
      <c r="H36" s="5"/>
      <c r="I36" s="6"/>
    </row>
    <row r="37" spans="1:9" ht="15">
      <c r="A37" s="7">
        <v>64</v>
      </c>
      <c r="B37" s="8">
        <v>0</v>
      </c>
      <c r="C37" s="8">
        <f t="shared" si="3"/>
        <v>0</v>
      </c>
      <c r="D37" s="8">
        <v>128</v>
      </c>
      <c r="E37" s="8"/>
      <c r="F37" s="8"/>
      <c r="G37" s="5"/>
      <c r="H37" s="8"/>
      <c r="I37" s="9"/>
    </row>
    <row r="38" spans="1:9" ht="15">
      <c r="A38" s="4">
        <v>128</v>
      </c>
      <c r="B38" s="5">
        <v>1000</v>
      </c>
      <c r="C38" s="5">
        <f t="shared" si="3"/>
        <v>6400</v>
      </c>
      <c r="D38" s="5">
        <v>256</v>
      </c>
      <c r="E38" s="5"/>
      <c r="F38" s="5"/>
      <c r="G38" s="5"/>
      <c r="H38" s="5"/>
      <c r="I38" s="6"/>
    </row>
    <row r="39" spans="1:9" ht="15">
      <c r="A39" s="4">
        <v>128</v>
      </c>
      <c r="B39" s="5">
        <v>100</v>
      </c>
      <c r="C39" s="5">
        <f t="shared" si="3"/>
        <v>64738</v>
      </c>
      <c r="D39" s="5">
        <v>256</v>
      </c>
      <c r="E39" s="5"/>
      <c r="F39" s="5"/>
      <c r="G39" s="5"/>
      <c r="H39" s="5"/>
      <c r="I39" s="6"/>
    </row>
    <row r="40" spans="1:9" ht="15">
      <c r="A40" s="4">
        <v>128</v>
      </c>
      <c r="B40" s="5">
        <v>10</v>
      </c>
      <c r="C40" s="5">
        <f t="shared" si="3"/>
        <v>423070</v>
      </c>
      <c r="D40" s="5">
        <v>256</v>
      </c>
      <c r="E40" s="5"/>
      <c r="F40" s="5"/>
      <c r="G40" s="5"/>
      <c r="H40" s="5"/>
      <c r="I40" s="6"/>
    </row>
    <row r="41" spans="1:9" ht="15">
      <c r="A41" s="4">
        <v>128</v>
      </c>
      <c r="B41" s="5">
        <v>1</v>
      </c>
      <c r="C41" s="5">
        <f t="shared" si="3"/>
        <v>0</v>
      </c>
      <c r="D41" s="5">
        <v>256</v>
      </c>
      <c r="E41" s="5"/>
      <c r="F41" s="5"/>
      <c r="G41" s="5"/>
      <c r="H41" s="5"/>
      <c r="I41" s="6"/>
    </row>
    <row r="42" spans="1:9" ht="15">
      <c r="A42" s="7">
        <v>128</v>
      </c>
      <c r="B42" s="8">
        <v>0</v>
      </c>
      <c r="C42" s="8">
        <f t="shared" si="3"/>
        <v>0</v>
      </c>
      <c r="D42" s="8">
        <v>256</v>
      </c>
      <c r="E42" s="8"/>
      <c r="F42" s="8"/>
      <c r="G42" s="5"/>
      <c r="H42" s="8"/>
      <c r="I42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0" zoomScaleNormal="70" workbookViewId="0">
      <pane xSplit="1" topLeftCell="F1" activePane="topRight" state="frozen"/>
      <selection pane="topRight" activeCell="N8" sqref="N8:N33"/>
    </sheetView>
  </sheetViews>
  <sheetFormatPr defaultRowHeight="14.45"/>
  <cols>
    <col min="1" max="1" width="32.5703125" style="1" bestFit="1" customWidth="1"/>
    <col min="2" max="2" width="26.28515625" bestFit="1" customWidth="1"/>
    <col min="3" max="3" width="36.28515625" customWidth="1"/>
    <col min="4" max="4" width="29.28515625" bestFit="1" customWidth="1"/>
    <col min="5" max="5" width="25.7109375" bestFit="1" customWidth="1"/>
    <col min="6" max="6" width="26.7109375" bestFit="1" customWidth="1"/>
    <col min="7" max="7" width="34.7109375" bestFit="1" customWidth="1"/>
    <col min="8" max="8" width="38.7109375" bestFit="1" customWidth="1"/>
    <col min="9" max="9" width="39.28515625" bestFit="1" customWidth="1"/>
    <col min="10" max="10" width="31.7109375" bestFit="1" customWidth="1"/>
    <col min="11" max="11" width="18" bestFit="1" customWidth="1"/>
    <col min="12" max="12" width="31.7109375" bestFit="1" customWidth="1"/>
    <col min="13" max="13" width="31.7109375" style="3" customWidth="1"/>
    <col min="14" max="14" width="28" bestFit="1" customWidth="1"/>
  </cols>
  <sheetData>
    <row r="1" spans="1:14">
      <c r="A1" s="1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3"/>
    </row>
    <row r="2" spans="1:14" s="1" customFormat="1">
      <c r="A2" s="24" t="s">
        <v>17</v>
      </c>
      <c r="B2" s="24" t="s">
        <v>18</v>
      </c>
      <c r="C2" s="24" t="s">
        <v>19</v>
      </c>
      <c r="D2" s="24" t="s">
        <v>20</v>
      </c>
      <c r="E2" s="24" t="s">
        <v>21</v>
      </c>
      <c r="F2" s="24" t="s">
        <v>22</v>
      </c>
      <c r="G2" s="24" t="s">
        <v>23</v>
      </c>
      <c r="H2" s="24" t="s">
        <v>24</v>
      </c>
      <c r="I2" s="24" t="s">
        <v>25</v>
      </c>
      <c r="J2" s="24" t="s">
        <v>26</v>
      </c>
      <c r="K2" s="24" t="s">
        <v>7</v>
      </c>
      <c r="L2" s="24" t="s">
        <v>27</v>
      </c>
      <c r="M2" s="24" t="s">
        <v>28</v>
      </c>
      <c r="N2" s="29" t="s">
        <v>10</v>
      </c>
    </row>
    <row r="3" spans="1:14" s="23" customFormat="1">
      <c r="A3" s="22">
        <v>1</v>
      </c>
      <c r="B3" s="23">
        <v>2</v>
      </c>
      <c r="C3" s="23">
        <v>1</v>
      </c>
      <c r="D3" s="23">
        <v>1</v>
      </c>
      <c r="E3" s="23">
        <v>3000</v>
      </c>
      <c r="F3" s="23">
        <v>0</v>
      </c>
      <c r="G3" s="23">
        <v>0.42599999999999999</v>
      </c>
      <c r="H3" s="23">
        <v>0.14599899999999999</v>
      </c>
      <c r="I3" s="23">
        <f t="shared" ref="I3:I33" si="0">H3*1000/E3</f>
        <v>4.8666333333333332E-2</v>
      </c>
      <c r="L3" s="23">
        <f t="shared" ref="L3:L33" si="1">E3/G3</f>
        <v>7042.2535211267605</v>
      </c>
      <c r="N3" s="30"/>
    </row>
    <row r="4" spans="1:14" s="5" customFormat="1">
      <c r="A4" s="24">
        <v>2</v>
      </c>
      <c r="B4" s="5">
        <v>4</v>
      </c>
      <c r="C4" s="5">
        <v>1</v>
      </c>
      <c r="D4" s="5">
        <v>3</v>
      </c>
      <c r="E4" s="5">
        <v>9000</v>
      </c>
      <c r="F4" s="5">
        <v>0</v>
      </c>
      <c r="G4" s="5">
        <v>2.746</v>
      </c>
      <c r="H4" s="5">
        <v>2.7590020000000002</v>
      </c>
      <c r="I4" s="5">
        <f t="shared" si="0"/>
        <v>0.30655577777777776</v>
      </c>
      <c r="L4" s="5">
        <f t="shared" si="1"/>
        <v>3277.4945375091042</v>
      </c>
      <c r="N4" s="6"/>
    </row>
    <row r="5" spans="1:14" s="5" customFormat="1">
      <c r="A5" s="24">
        <v>4</v>
      </c>
      <c r="B5" s="5">
        <v>8</v>
      </c>
      <c r="C5" s="5">
        <v>1</v>
      </c>
      <c r="D5" s="5">
        <v>7</v>
      </c>
      <c r="E5" s="5">
        <v>21000</v>
      </c>
      <c r="F5" s="5">
        <v>0</v>
      </c>
      <c r="G5" s="5">
        <v>13.228</v>
      </c>
      <c r="H5" s="5">
        <v>13.734000999999999</v>
      </c>
      <c r="I5" s="5">
        <f t="shared" si="0"/>
        <v>0.65400004761904751</v>
      </c>
      <c r="L5" s="5">
        <f t="shared" si="1"/>
        <v>1587.5415784699123</v>
      </c>
      <c r="N5" s="6"/>
    </row>
    <row r="6" spans="1:14" s="5" customFormat="1">
      <c r="A6" s="24">
        <v>8</v>
      </c>
      <c r="B6" s="5">
        <v>16</v>
      </c>
      <c r="C6" s="5">
        <v>1</v>
      </c>
      <c r="D6" s="5">
        <v>15</v>
      </c>
      <c r="E6" s="5">
        <v>45000</v>
      </c>
      <c r="F6" s="5">
        <v>0</v>
      </c>
      <c r="G6" s="5">
        <v>54.982999999999997</v>
      </c>
      <c r="H6" s="5">
        <v>114.22799500000001</v>
      </c>
      <c r="I6" s="5">
        <f t="shared" si="0"/>
        <v>2.5383998888888892</v>
      </c>
      <c r="L6" s="5">
        <f t="shared" si="1"/>
        <v>818.43478893476174</v>
      </c>
      <c r="N6" s="6"/>
    </row>
    <row r="7" spans="1:14" s="8" customFormat="1">
      <c r="A7" s="25">
        <v>16</v>
      </c>
      <c r="B7" s="8">
        <v>32</v>
      </c>
      <c r="C7" s="8">
        <v>1</v>
      </c>
      <c r="D7" s="8">
        <v>31</v>
      </c>
      <c r="E7" s="8">
        <v>93000</v>
      </c>
      <c r="F7" s="8">
        <v>0</v>
      </c>
      <c r="G7" s="8">
        <v>226.755</v>
      </c>
      <c r="H7" s="8">
        <v>2735.201998</v>
      </c>
      <c r="I7" s="8">
        <f t="shared" si="0"/>
        <v>29.410774172043013</v>
      </c>
      <c r="L7" s="8">
        <f t="shared" si="1"/>
        <v>410.13428590328772</v>
      </c>
      <c r="N7" s="9"/>
    </row>
    <row r="8" spans="1:14" s="23" customFormat="1">
      <c r="A8" s="22">
        <v>1</v>
      </c>
      <c r="B8" s="23">
        <v>2</v>
      </c>
      <c r="C8" s="23">
        <v>1</v>
      </c>
      <c r="D8" s="23">
        <v>1</v>
      </c>
      <c r="E8" s="23">
        <v>3000</v>
      </c>
      <c r="F8" s="23">
        <v>1E-3</v>
      </c>
      <c r="G8" s="23">
        <v>4.0410000000000004</v>
      </c>
      <c r="H8" s="23">
        <v>3.396004</v>
      </c>
      <c r="I8" s="23">
        <f t="shared" si="0"/>
        <v>1.1320013333333332</v>
      </c>
      <c r="J8" s="23">
        <f t="shared" ref="J8:J33" si="2">E8*1000*F8/D8</f>
        <v>3000</v>
      </c>
      <c r="K8" s="26">
        <f t="shared" ref="K8:K32" si="3">J8/(G8*1000)</f>
        <v>0.74239049740163321</v>
      </c>
      <c r="L8" s="23">
        <f t="shared" si="1"/>
        <v>742.39049740163318</v>
      </c>
      <c r="M8" s="23">
        <f>1*D8/F8</f>
        <v>1000</v>
      </c>
      <c r="N8" s="30">
        <f>G8*1000*D8/E8</f>
        <v>1.3470000000000002</v>
      </c>
    </row>
    <row r="9" spans="1:14" s="5" customFormat="1">
      <c r="A9" s="24">
        <v>2</v>
      </c>
      <c r="B9" s="5">
        <v>4</v>
      </c>
      <c r="C9" s="5">
        <v>1</v>
      </c>
      <c r="D9" s="5">
        <v>3</v>
      </c>
      <c r="E9" s="5">
        <v>9000</v>
      </c>
      <c r="F9" s="5">
        <v>1E-3</v>
      </c>
      <c r="G9" s="5">
        <v>14.82</v>
      </c>
      <c r="H9" s="5">
        <v>18.873998</v>
      </c>
      <c r="I9" s="5">
        <f t="shared" si="0"/>
        <v>2.097110888888889</v>
      </c>
      <c r="J9" s="5">
        <f t="shared" si="2"/>
        <v>3000</v>
      </c>
      <c r="K9" s="27">
        <f t="shared" si="3"/>
        <v>0.20242914979757085</v>
      </c>
      <c r="L9" s="5">
        <f t="shared" si="1"/>
        <v>607.28744939271257</v>
      </c>
      <c r="M9" s="5">
        <f t="shared" ref="M9:M33" si="4">1*D9/F9</f>
        <v>3000</v>
      </c>
      <c r="N9" s="30">
        <f t="shared" ref="N9:N33" si="5">G9*1000*D9/E9</f>
        <v>4.9400000000000004</v>
      </c>
    </row>
    <row r="10" spans="1:14" s="5" customFormat="1">
      <c r="A10" s="24">
        <v>4</v>
      </c>
      <c r="B10" s="5">
        <v>8</v>
      </c>
      <c r="C10" s="5">
        <v>1</v>
      </c>
      <c r="D10" s="5">
        <v>7</v>
      </c>
      <c r="E10" s="5">
        <v>21000</v>
      </c>
      <c r="F10" s="5">
        <v>1E-3</v>
      </c>
      <c r="G10" s="5">
        <v>23.427</v>
      </c>
      <c r="H10" s="5">
        <v>83.497010000000003</v>
      </c>
      <c r="I10" s="5">
        <f t="shared" si="0"/>
        <v>3.9760480952380957</v>
      </c>
      <c r="J10" s="5">
        <f t="shared" si="2"/>
        <v>3000</v>
      </c>
      <c r="K10" s="27">
        <f t="shared" si="3"/>
        <v>0.12805736970162632</v>
      </c>
      <c r="L10" s="5">
        <f t="shared" si="1"/>
        <v>896.40158791138435</v>
      </c>
      <c r="M10" s="5">
        <f t="shared" si="4"/>
        <v>7000</v>
      </c>
      <c r="N10" s="30">
        <f t="shared" si="5"/>
        <v>7.8090000000000002</v>
      </c>
    </row>
    <row r="11" spans="1:14" s="5" customFormat="1">
      <c r="A11" s="24">
        <v>8</v>
      </c>
      <c r="B11" s="5">
        <v>16</v>
      </c>
      <c r="C11" s="5">
        <v>1</v>
      </c>
      <c r="D11" s="5">
        <v>15</v>
      </c>
      <c r="E11" s="5">
        <v>45000</v>
      </c>
      <c r="F11" s="5">
        <v>1E-3</v>
      </c>
      <c r="G11" s="5">
        <v>172.93</v>
      </c>
      <c r="H11" s="5">
        <v>1454.1560050000001</v>
      </c>
      <c r="I11" s="5">
        <f t="shared" si="0"/>
        <v>32.314577888888891</v>
      </c>
      <c r="J11" s="5">
        <f t="shared" si="2"/>
        <v>3000</v>
      </c>
      <c r="K11" s="27">
        <f t="shared" si="3"/>
        <v>1.7348059908633553E-2</v>
      </c>
      <c r="L11" s="5">
        <f t="shared" si="1"/>
        <v>260.22089862950327</v>
      </c>
      <c r="M11" s="5">
        <f t="shared" si="4"/>
        <v>15000</v>
      </c>
      <c r="N11" s="30">
        <f t="shared" si="5"/>
        <v>57.643333333333331</v>
      </c>
    </row>
    <row r="12" spans="1:14" s="23" customFormat="1">
      <c r="A12" s="22">
        <v>1</v>
      </c>
      <c r="B12" s="23">
        <v>2</v>
      </c>
      <c r="C12" s="23">
        <v>1</v>
      </c>
      <c r="D12" s="23">
        <v>1</v>
      </c>
      <c r="E12" s="23">
        <v>300</v>
      </c>
      <c r="F12" s="23">
        <v>0.01</v>
      </c>
      <c r="G12" s="23">
        <v>3.1240000000000001</v>
      </c>
      <c r="H12" s="23">
        <v>3.0479989999999999</v>
      </c>
      <c r="I12" s="23">
        <f t="shared" si="0"/>
        <v>10.159996666666666</v>
      </c>
      <c r="J12" s="23">
        <f t="shared" si="2"/>
        <v>3000</v>
      </c>
      <c r="K12" s="26">
        <f t="shared" si="3"/>
        <v>0.96030729833546735</v>
      </c>
      <c r="L12" s="23">
        <f t="shared" si="1"/>
        <v>96.030729833546729</v>
      </c>
      <c r="M12" s="23">
        <f t="shared" si="4"/>
        <v>100</v>
      </c>
      <c r="N12" s="30">
        <f t="shared" si="5"/>
        <v>10.413333333333334</v>
      </c>
    </row>
    <row r="13" spans="1:14" s="5" customFormat="1">
      <c r="A13" s="24">
        <v>2</v>
      </c>
      <c r="B13" s="5">
        <v>4</v>
      </c>
      <c r="C13" s="5">
        <v>1</v>
      </c>
      <c r="D13" s="5">
        <v>3</v>
      </c>
      <c r="E13" s="5">
        <v>900</v>
      </c>
      <c r="F13" s="5">
        <v>0.01</v>
      </c>
      <c r="G13" s="5">
        <v>5.2270000000000003</v>
      </c>
      <c r="H13" s="5">
        <v>10.124000000000001</v>
      </c>
      <c r="I13" s="5">
        <f t="shared" si="0"/>
        <v>11.248888888888889</v>
      </c>
      <c r="J13" s="5">
        <f t="shared" si="2"/>
        <v>3000</v>
      </c>
      <c r="K13" s="27">
        <f t="shared" si="3"/>
        <v>0.57394298832982593</v>
      </c>
      <c r="L13" s="5">
        <f t="shared" si="1"/>
        <v>172.18289649894777</v>
      </c>
      <c r="M13" s="5">
        <f t="shared" si="4"/>
        <v>300</v>
      </c>
      <c r="N13" s="30">
        <f t="shared" si="5"/>
        <v>17.423333333333332</v>
      </c>
    </row>
    <row r="14" spans="1:14" s="5" customFormat="1">
      <c r="A14" s="24">
        <v>4</v>
      </c>
      <c r="B14" s="5">
        <v>8</v>
      </c>
      <c r="C14" s="5">
        <v>1</v>
      </c>
      <c r="D14" s="5">
        <v>7</v>
      </c>
      <c r="E14" s="5">
        <v>2100</v>
      </c>
      <c r="F14" s="5">
        <v>0.01</v>
      </c>
      <c r="G14" s="5">
        <v>9.7550000000000008</v>
      </c>
      <c r="H14" s="5">
        <v>33.418007000000003</v>
      </c>
      <c r="I14" s="5">
        <f t="shared" si="0"/>
        <v>15.91333666666667</v>
      </c>
      <c r="J14" s="5">
        <f t="shared" si="2"/>
        <v>3000</v>
      </c>
      <c r="K14" s="27">
        <f t="shared" si="3"/>
        <v>0.30753459764223473</v>
      </c>
      <c r="L14" s="5">
        <f t="shared" si="1"/>
        <v>215.27421834956431</v>
      </c>
      <c r="M14" s="5">
        <f t="shared" si="4"/>
        <v>700</v>
      </c>
      <c r="N14" s="30">
        <f t="shared" si="5"/>
        <v>32.516666666666666</v>
      </c>
    </row>
    <row r="15" spans="1:14" s="5" customFormat="1">
      <c r="A15" s="24">
        <v>8</v>
      </c>
      <c r="B15" s="5">
        <v>16</v>
      </c>
      <c r="C15" s="5">
        <v>1</v>
      </c>
      <c r="D15" s="5">
        <v>15</v>
      </c>
      <c r="E15" s="5">
        <v>4500</v>
      </c>
      <c r="F15" s="5">
        <v>0.01</v>
      </c>
      <c r="G15" s="5">
        <v>19.045000000000002</v>
      </c>
      <c r="H15" s="5">
        <v>181.01100199999999</v>
      </c>
      <c r="I15" s="5">
        <f t="shared" si="0"/>
        <v>40.22466711111111</v>
      </c>
      <c r="J15" s="5">
        <f t="shared" si="2"/>
        <v>3000</v>
      </c>
      <c r="K15" s="27">
        <f t="shared" si="3"/>
        <v>0.15752165922814387</v>
      </c>
      <c r="L15" s="5">
        <f t="shared" si="1"/>
        <v>236.28248884221577</v>
      </c>
      <c r="M15" s="5">
        <f t="shared" si="4"/>
        <v>1500</v>
      </c>
      <c r="N15" s="30">
        <f t="shared" si="5"/>
        <v>63.483333333333334</v>
      </c>
    </row>
    <row r="16" spans="1:14" s="5" customFormat="1">
      <c r="A16" s="24">
        <v>16</v>
      </c>
      <c r="B16" s="5">
        <v>32</v>
      </c>
      <c r="C16" s="5">
        <v>1</v>
      </c>
      <c r="D16" s="5">
        <v>31</v>
      </c>
      <c r="E16" s="5">
        <v>9300</v>
      </c>
      <c r="F16" s="5">
        <v>0.01</v>
      </c>
      <c r="G16" s="5">
        <v>13.266999999999999</v>
      </c>
      <c r="H16" s="5">
        <v>489.81900400000001</v>
      </c>
      <c r="I16" s="5">
        <f t="shared" si="0"/>
        <v>52.668710107526884</v>
      </c>
      <c r="J16" s="5">
        <f t="shared" si="2"/>
        <v>3000</v>
      </c>
      <c r="K16" s="27">
        <f t="shared" si="3"/>
        <v>0.22612497173437854</v>
      </c>
      <c r="L16" s="5">
        <f t="shared" si="1"/>
        <v>700.9874123765735</v>
      </c>
      <c r="M16" s="5">
        <f t="shared" si="4"/>
        <v>3100</v>
      </c>
      <c r="N16" s="30">
        <f t="shared" si="5"/>
        <v>44.223333333333336</v>
      </c>
    </row>
    <row r="17" spans="1:14" s="5" customFormat="1">
      <c r="A17" s="24">
        <v>32</v>
      </c>
      <c r="B17" s="5">
        <v>64</v>
      </c>
      <c r="C17" s="5">
        <v>1</v>
      </c>
      <c r="D17" s="5">
        <v>63</v>
      </c>
      <c r="E17" s="5">
        <v>18900</v>
      </c>
      <c r="F17" s="5">
        <v>0.01</v>
      </c>
      <c r="G17" s="5">
        <v>106.151</v>
      </c>
      <c r="H17" s="5">
        <v>7906.0500389999997</v>
      </c>
      <c r="I17" s="5">
        <f t="shared" si="0"/>
        <v>418.30952587301584</v>
      </c>
      <c r="J17" s="5">
        <f t="shared" si="2"/>
        <v>3000</v>
      </c>
      <c r="K17" s="27">
        <f t="shared" si="3"/>
        <v>2.8261627304500193E-2</v>
      </c>
      <c r="L17" s="5">
        <f t="shared" si="1"/>
        <v>178.04825201835123</v>
      </c>
      <c r="M17" s="5">
        <f t="shared" si="4"/>
        <v>6300</v>
      </c>
      <c r="N17" s="30">
        <f t="shared" si="5"/>
        <v>353.83666666666664</v>
      </c>
    </row>
    <row r="18" spans="1:14" s="8" customFormat="1">
      <c r="A18" s="25">
        <v>64</v>
      </c>
      <c r="B18" s="8">
        <v>128</v>
      </c>
      <c r="C18" s="8">
        <v>1</v>
      </c>
      <c r="D18" s="8">
        <v>127</v>
      </c>
      <c r="E18" s="8">
        <v>38100</v>
      </c>
      <c r="F18" s="8">
        <v>0.01</v>
      </c>
      <c r="G18" s="8">
        <v>629.447</v>
      </c>
      <c r="H18" s="8">
        <v>101051.29501</v>
      </c>
      <c r="I18" s="8">
        <f t="shared" si="0"/>
        <v>2652.2649608923884</v>
      </c>
      <c r="J18" s="8">
        <f t="shared" ref="J18" si="6">E18*1000*F18/D18</f>
        <v>3000</v>
      </c>
      <c r="K18" s="28">
        <f t="shared" ref="K18" si="7">J18/(G18*1000)</f>
        <v>4.7660883283262932E-3</v>
      </c>
      <c r="L18" s="8">
        <f t="shared" si="1"/>
        <v>60.529321769743916</v>
      </c>
      <c r="M18" s="8">
        <f t="shared" si="4"/>
        <v>12700</v>
      </c>
      <c r="N18" s="30">
        <f t="shared" si="5"/>
        <v>2098.1566666666668</v>
      </c>
    </row>
    <row r="19" spans="1:14" s="23" customFormat="1">
      <c r="A19" s="22">
        <v>1</v>
      </c>
      <c r="B19" s="23">
        <v>2</v>
      </c>
      <c r="C19" s="23">
        <v>1</v>
      </c>
      <c r="D19" s="23">
        <v>1</v>
      </c>
      <c r="E19" s="23">
        <v>300</v>
      </c>
      <c r="F19" s="23">
        <v>0.1</v>
      </c>
      <c r="G19" s="23">
        <v>30.125</v>
      </c>
      <c r="H19" s="23">
        <v>30.048000999999999</v>
      </c>
      <c r="I19" s="23">
        <f t="shared" si="0"/>
        <v>100.16000333333334</v>
      </c>
      <c r="J19" s="23">
        <f t="shared" si="2"/>
        <v>30000</v>
      </c>
      <c r="K19" s="26">
        <f t="shared" si="3"/>
        <v>0.99585062240663902</v>
      </c>
      <c r="L19" s="23">
        <f t="shared" si="1"/>
        <v>9.9585062240663902</v>
      </c>
      <c r="M19" s="23">
        <f t="shared" si="4"/>
        <v>10</v>
      </c>
      <c r="N19" s="30">
        <f t="shared" si="5"/>
        <v>100.41666666666667</v>
      </c>
    </row>
    <row r="20" spans="1:14" s="5" customFormat="1">
      <c r="A20" s="24">
        <v>2</v>
      </c>
      <c r="B20" s="5">
        <v>4</v>
      </c>
      <c r="C20" s="5">
        <v>1</v>
      </c>
      <c r="D20" s="5">
        <v>3</v>
      </c>
      <c r="E20" s="5">
        <v>900</v>
      </c>
      <c r="F20" s="5">
        <v>0.1</v>
      </c>
      <c r="G20" s="5">
        <v>30.157</v>
      </c>
      <c r="H20" s="5">
        <v>90.148999000000003</v>
      </c>
      <c r="I20" s="5">
        <f t="shared" si="0"/>
        <v>100.16555444444445</v>
      </c>
      <c r="J20" s="5">
        <f t="shared" si="2"/>
        <v>30000</v>
      </c>
      <c r="K20" s="27">
        <f t="shared" si="3"/>
        <v>0.99479391186125943</v>
      </c>
      <c r="L20" s="5">
        <f t="shared" si="1"/>
        <v>29.843817355837782</v>
      </c>
      <c r="M20" s="5">
        <f t="shared" si="4"/>
        <v>30</v>
      </c>
      <c r="N20" s="30">
        <f t="shared" si="5"/>
        <v>100.52333333333333</v>
      </c>
    </row>
    <row r="21" spans="1:14" s="5" customFormat="1">
      <c r="A21" s="24">
        <v>4</v>
      </c>
      <c r="B21" s="5">
        <v>8</v>
      </c>
      <c r="C21" s="5">
        <v>1</v>
      </c>
      <c r="D21" s="5">
        <v>7</v>
      </c>
      <c r="E21" s="5">
        <v>2100</v>
      </c>
      <c r="F21" s="5">
        <v>0.1</v>
      </c>
      <c r="G21" s="5">
        <v>38.268999999999998</v>
      </c>
      <c r="H21" s="5">
        <v>254.41900000000001</v>
      </c>
      <c r="I21" s="5">
        <f t="shared" si="0"/>
        <v>121.15190476190476</v>
      </c>
      <c r="J21" s="5">
        <f t="shared" si="2"/>
        <v>30000</v>
      </c>
      <c r="K21" s="27">
        <f t="shared" si="3"/>
        <v>0.7839243251718101</v>
      </c>
      <c r="L21" s="5">
        <f t="shared" si="1"/>
        <v>54.874702762026708</v>
      </c>
      <c r="M21" s="5">
        <f t="shared" si="4"/>
        <v>70</v>
      </c>
      <c r="N21" s="30">
        <f t="shared" si="5"/>
        <v>127.56333333333333</v>
      </c>
    </row>
    <row r="22" spans="1:14" s="5" customFormat="1">
      <c r="A22" s="24">
        <v>8</v>
      </c>
      <c r="B22" s="5">
        <v>16</v>
      </c>
      <c r="C22" s="5">
        <v>1</v>
      </c>
      <c r="D22" s="5">
        <v>15</v>
      </c>
      <c r="E22" s="5">
        <v>4500</v>
      </c>
      <c r="F22" s="5">
        <v>0.1</v>
      </c>
      <c r="G22" s="5">
        <v>45.137999999999998</v>
      </c>
      <c r="H22" s="5">
        <v>782.64800300000002</v>
      </c>
      <c r="I22" s="5">
        <f t="shared" si="0"/>
        <v>173.92177844444444</v>
      </c>
      <c r="J22" s="5">
        <f t="shared" si="2"/>
        <v>30000</v>
      </c>
      <c r="K22" s="27">
        <f t="shared" si="3"/>
        <v>0.66462847268376979</v>
      </c>
      <c r="L22" s="5">
        <f t="shared" si="1"/>
        <v>99.694270902565464</v>
      </c>
      <c r="M22" s="5">
        <f t="shared" si="4"/>
        <v>150</v>
      </c>
      <c r="N22" s="30">
        <f t="shared" si="5"/>
        <v>150.46</v>
      </c>
    </row>
    <row r="23" spans="1:14" s="5" customFormat="1">
      <c r="A23" s="24">
        <v>16</v>
      </c>
      <c r="B23" s="5">
        <v>32</v>
      </c>
      <c r="C23" s="5">
        <v>1</v>
      </c>
      <c r="D23" s="5">
        <v>31</v>
      </c>
      <c r="E23" s="5">
        <v>9300</v>
      </c>
      <c r="F23" s="5">
        <v>0.1</v>
      </c>
      <c r="G23" s="5">
        <v>68.959000000000003</v>
      </c>
      <c r="H23" s="5">
        <v>1672.832007</v>
      </c>
      <c r="I23" s="5">
        <f t="shared" si="0"/>
        <v>179.87440935483872</v>
      </c>
      <c r="J23" s="5">
        <f t="shared" si="2"/>
        <v>30000</v>
      </c>
      <c r="K23" s="27">
        <f t="shared" si="3"/>
        <v>0.43504111138502588</v>
      </c>
      <c r="L23" s="5">
        <f t="shared" si="1"/>
        <v>134.86274452935803</v>
      </c>
      <c r="M23" s="5">
        <f t="shared" si="4"/>
        <v>310</v>
      </c>
      <c r="N23" s="30">
        <f t="shared" si="5"/>
        <v>229.86333333333334</v>
      </c>
    </row>
    <row r="24" spans="1:14" s="5" customFormat="1">
      <c r="A24" s="24">
        <v>32</v>
      </c>
      <c r="B24" s="5">
        <v>64</v>
      </c>
      <c r="C24" s="5">
        <v>1</v>
      </c>
      <c r="D24" s="5">
        <v>63</v>
      </c>
      <c r="E24" s="5">
        <v>18900</v>
      </c>
      <c r="F24" s="5">
        <v>0.1</v>
      </c>
      <c r="G24" s="5">
        <v>117.643</v>
      </c>
      <c r="H24" s="5">
        <v>11877.631022</v>
      </c>
      <c r="I24" s="5">
        <f t="shared" si="0"/>
        <v>628.44608582010585</v>
      </c>
      <c r="J24" s="5">
        <f t="shared" si="2"/>
        <v>30000</v>
      </c>
      <c r="K24" s="27">
        <f t="shared" si="3"/>
        <v>0.2550087978035242</v>
      </c>
      <c r="L24" s="5">
        <f t="shared" si="1"/>
        <v>160.65554261622026</v>
      </c>
      <c r="M24" s="5">
        <f t="shared" si="4"/>
        <v>630</v>
      </c>
      <c r="N24" s="30">
        <f t="shared" si="5"/>
        <v>392.14333333333332</v>
      </c>
    </row>
    <row r="25" spans="1:14" s="8" customFormat="1">
      <c r="A25" s="25">
        <v>64</v>
      </c>
      <c r="B25" s="8">
        <v>128</v>
      </c>
      <c r="C25" s="8">
        <v>1</v>
      </c>
      <c r="D25" s="8">
        <v>127</v>
      </c>
      <c r="E25" s="8">
        <v>38100</v>
      </c>
      <c r="F25" s="8">
        <v>0.1</v>
      </c>
      <c r="G25" s="8">
        <v>649.678</v>
      </c>
      <c r="H25" s="8">
        <v>79726.429986000003</v>
      </c>
      <c r="I25" s="8">
        <f t="shared" si="0"/>
        <v>2092.5572174803151</v>
      </c>
      <c r="J25" s="8">
        <f t="shared" ref="J25" si="8">E25*1000*F25/D25</f>
        <v>30000</v>
      </c>
      <c r="K25" s="28">
        <f t="shared" ref="K25" si="9">J25/(G25*1000)</f>
        <v>4.6176721391212261E-2</v>
      </c>
      <c r="L25" s="8">
        <f t="shared" si="1"/>
        <v>58.644436166839576</v>
      </c>
      <c r="M25" s="8">
        <f t="shared" si="4"/>
        <v>1270</v>
      </c>
      <c r="N25" s="30">
        <f t="shared" si="5"/>
        <v>2165.5933333333332</v>
      </c>
    </row>
    <row r="26" spans="1:14" s="23" customFormat="1">
      <c r="A26" s="22">
        <v>1</v>
      </c>
      <c r="B26" s="23">
        <v>2</v>
      </c>
      <c r="C26" s="23">
        <v>1</v>
      </c>
      <c r="D26" s="23">
        <v>1</v>
      </c>
      <c r="E26" s="23">
        <v>100</v>
      </c>
      <c r="F26" s="23">
        <v>1</v>
      </c>
      <c r="G26" s="23">
        <v>100.142</v>
      </c>
      <c r="H26" s="23">
        <v>100.10899999999999</v>
      </c>
      <c r="I26" s="23">
        <f t="shared" si="0"/>
        <v>1001.09</v>
      </c>
      <c r="J26" s="23">
        <f t="shared" si="2"/>
        <v>100000</v>
      </c>
      <c r="K26" s="26">
        <f t="shared" si="3"/>
        <v>0.99858201354077214</v>
      </c>
      <c r="L26" s="23">
        <f t="shared" si="1"/>
        <v>0.99858201354077214</v>
      </c>
      <c r="M26" s="23">
        <f t="shared" si="4"/>
        <v>1</v>
      </c>
      <c r="N26" s="30">
        <f t="shared" si="5"/>
        <v>1001.42</v>
      </c>
    </row>
    <row r="27" spans="1:14" s="5" customFormat="1">
      <c r="A27" s="24">
        <v>2</v>
      </c>
      <c r="B27" s="5">
        <v>4</v>
      </c>
      <c r="C27" s="5">
        <v>1</v>
      </c>
      <c r="D27" s="5">
        <v>3</v>
      </c>
      <c r="E27" s="5">
        <v>300</v>
      </c>
      <c r="F27" s="5">
        <v>1</v>
      </c>
      <c r="G27" s="5">
        <v>100.21899999999999</v>
      </c>
      <c r="H27" s="5">
        <v>300.331998</v>
      </c>
      <c r="I27" s="5">
        <f t="shared" si="0"/>
        <v>1001.10666</v>
      </c>
      <c r="J27" s="5">
        <f t="shared" si="2"/>
        <v>100000</v>
      </c>
      <c r="K27" s="27">
        <f t="shared" si="3"/>
        <v>0.99781478561949333</v>
      </c>
      <c r="L27" s="5">
        <f t="shared" si="1"/>
        <v>2.9934443568584803</v>
      </c>
      <c r="M27" s="5">
        <f t="shared" si="4"/>
        <v>3</v>
      </c>
      <c r="N27" s="30">
        <f t="shared" si="5"/>
        <v>1002.19</v>
      </c>
    </row>
    <row r="28" spans="1:14" s="5" customFormat="1">
      <c r="A28" s="24">
        <v>4</v>
      </c>
      <c r="B28" s="5">
        <v>8</v>
      </c>
      <c r="C28" s="5">
        <v>1</v>
      </c>
      <c r="D28" s="5">
        <v>7</v>
      </c>
      <c r="E28" s="5">
        <v>700</v>
      </c>
      <c r="F28" s="5">
        <v>1</v>
      </c>
      <c r="G28" s="5">
        <v>100.29</v>
      </c>
      <c r="H28" s="5">
        <v>865.20500000000004</v>
      </c>
      <c r="I28" s="5">
        <f t="shared" si="0"/>
        <v>1236.0071428571428</v>
      </c>
      <c r="J28" s="5">
        <f t="shared" si="2"/>
        <v>100000</v>
      </c>
      <c r="K28" s="27">
        <f t="shared" si="3"/>
        <v>0.9971083856815236</v>
      </c>
      <c r="L28" s="5">
        <f t="shared" si="1"/>
        <v>6.9797586997706649</v>
      </c>
      <c r="M28" s="5">
        <f t="shared" si="4"/>
        <v>7</v>
      </c>
      <c r="N28" s="30">
        <f t="shared" si="5"/>
        <v>1002.9</v>
      </c>
    </row>
    <row r="29" spans="1:14" s="5" customFormat="1">
      <c r="A29" s="24">
        <v>8</v>
      </c>
      <c r="B29" s="5">
        <v>16</v>
      </c>
      <c r="C29" s="5">
        <v>1</v>
      </c>
      <c r="D29" s="5">
        <v>15</v>
      </c>
      <c r="E29" s="5">
        <v>1500</v>
      </c>
      <c r="F29" s="5">
        <v>1</v>
      </c>
      <c r="G29" s="5">
        <v>100.792</v>
      </c>
      <c r="H29" s="5">
        <v>2075.8319999999999</v>
      </c>
      <c r="I29" s="5">
        <f t="shared" si="0"/>
        <v>1383.8879999999999</v>
      </c>
      <c r="J29" s="5">
        <f t="shared" si="2"/>
        <v>100000</v>
      </c>
      <c r="K29" s="27">
        <f t="shared" si="3"/>
        <v>0.99214223351059605</v>
      </c>
      <c r="L29" s="5">
        <f t="shared" si="1"/>
        <v>14.882133502658942</v>
      </c>
      <c r="M29" s="5">
        <f t="shared" si="4"/>
        <v>15</v>
      </c>
      <c r="N29" s="30">
        <f t="shared" si="5"/>
        <v>1007.92</v>
      </c>
    </row>
    <row r="30" spans="1:14" s="5" customFormat="1">
      <c r="A30" s="24">
        <v>16</v>
      </c>
      <c r="B30" s="5">
        <v>32</v>
      </c>
      <c r="C30" s="5">
        <v>1</v>
      </c>
      <c r="D30" s="5">
        <v>31</v>
      </c>
      <c r="E30" s="5">
        <v>3100</v>
      </c>
      <c r="F30" s="5">
        <v>1</v>
      </c>
      <c r="G30" s="5">
        <v>105.883</v>
      </c>
      <c r="H30" s="5">
        <v>4201.3280050000003</v>
      </c>
      <c r="I30" s="5">
        <f t="shared" si="0"/>
        <v>1355.2670983870967</v>
      </c>
      <c r="J30" s="5">
        <f t="shared" si="2"/>
        <v>100000</v>
      </c>
      <c r="K30" s="27">
        <f t="shared" si="3"/>
        <v>0.9444386728747769</v>
      </c>
      <c r="L30" s="5">
        <f t="shared" si="1"/>
        <v>29.277598859118083</v>
      </c>
      <c r="M30" s="5">
        <f t="shared" si="4"/>
        <v>31</v>
      </c>
      <c r="N30" s="30">
        <f t="shared" si="5"/>
        <v>1058.83</v>
      </c>
    </row>
    <row r="31" spans="1:14" s="5" customFormat="1">
      <c r="A31" s="24">
        <v>32</v>
      </c>
      <c r="B31" s="5">
        <v>64</v>
      </c>
      <c r="C31" s="5">
        <v>1</v>
      </c>
      <c r="D31" s="5">
        <v>63</v>
      </c>
      <c r="E31" s="5">
        <v>6300</v>
      </c>
      <c r="F31" s="5">
        <v>1</v>
      </c>
      <c r="G31" s="5">
        <v>109.047</v>
      </c>
      <c r="H31" s="5">
        <v>18691.436998000001</v>
      </c>
      <c r="I31" s="5">
        <f t="shared" si="0"/>
        <v>2966.8947615873017</v>
      </c>
      <c r="J31" s="5">
        <f t="shared" si="2"/>
        <v>100000</v>
      </c>
      <c r="K31" s="27">
        <f t="shared" si="3"/>
        <v>0.91703577356552679</v>
      </c>
      <c r="L31" s="5">
        <f t="shared" si="1"/>
        <v>57.773253734628192</v>
      </c>
      <c r="M31" s="5">
        <f t="shared" si="4"/>
        <v>63</v>
      </c>
      <c r="N31" s="30">
        <f t="shared" si="5"/>
        <v>1090.47</v>
      </c>
    </row>
    <row r="32" spans="1:14" s="5" customFormat="1">
      <c r="A32" s="24">
        <v>64</v>
      </c>
      <c r="B32" s="5">
        <v>128</v>
      </c>
      <c r="C32" s="5">
        <v>1</v>
      </c>
      <c r="D32" s="5">
        <v>127</v>
      </c>
      <c r="E32" s="5">
        <v>12700</v>
      </c>
      <c r="F32" s="5">
        <v>1</v>
      </c>
      <c r="G32" s="5">
        <v>208.803</v>
      </c>
      <c r="H32" s="5">
        <v>46170.185003999999</v>
      </c>
      <c r="I32" s="5">
        <f t="shared" si="0"/>
        <v>3635.4476381102363</v>
      </c>
      <c r="J32" s="5">
        <f t="shared" si="2"/>
        <v>100000</v>
      </c>
      <c r="K32" s="27">
        <f t="shared" si="3"/>
        <v>0.47892032202602453</v>
      </c>
      <c r="L32" s="5">
        <f t="shared" si="1"/>
        <v>60.822880897305119</v>
      </c>
      <c r="M32" s="5">
        <f t="shared" si="4"/>
        <v>127</v>
      </c>
      <c r="N32" s="30">
        <f t="shared" si="5"/>
        <v>2088.0300000000002</v>
      </c>
    </row>
    <row r="33" spans="1:14" s="8" customFormat="1">
      <c r="A33" s="25">
        <v>128</v>
      </c>
      <c r="B33" s="8">
        <v>256</v>
      </c>
      <c r="C33" s="8">
        <v>1</v>
      </c>
      <c r="D33" s="8">
        <v>255</v>
      </c>
      <c r="E33" s="8">
        <v>25500</v>
      </c>
      <c r="F33" s="8">
        <v>1</v>
      </c>
      <c r="G33" s="8">
        <v>1011.5309999999999</v>
      </c>
      <c r="H33" s="8">
        <v>431223.26997999998</v>
      </c>
      <c r="I33" s="8">
        <f t="shared" si="0"/>
        <v>16910.71646980392</v>
      </c>
      <c r="J33" s="8">
        <f t="shared" si="2"/>
        <v>100000</v>
      </c>
      <c r="K33" s="28">
        <f t="shared" ref="K33" si="10">J33/(G33*1000)</f>
        <v>9.8860044823144325E-2</v>
      </c>
      <c r="L33" s="8">
        <f t="shared" si="1"/>
        <v>25.209311429901803</v>
      </c>
      <c r="M33" s="8">
        <f t="shared" si="4"/>
        <v>255</v>
      </c>
      <c r="N33" s="30">
        <f t="shared" si="5"/>
        <v>10115.31</v>
      </c>
    </row>
    <row r="35" spans="1:14">
      <c r="A35" s="1" t="s">
        <v>29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N35" s="3"/>
    </row>
    <row r="36" spans="1:14" s="1" customFormat="1">
      <c r="A36" s="1" t="s">
        <v>17</v>
      </c>
      <c r="B36" s="1" t="s">
        <v>18</v>
      </c>
      <c r="C36" s="1" t="s">
        <v>19</v>
      </c>
      <c r="D36" s="1" t="s">
        <v>20</v>
      </c>
      <c r="E36" s="1" t="s">
        <v>21</v>
      </c>
      <c r="F36" s="1" t="s">
        <v>23</v>
      </c>
      <c r="G36" s="1" t="s">
        <v>24</v>
      </c>
      <c r="H36" s="1" t="s">
        <v>30</v>
      </c>
      <c r="I36" s="1" t="s">
        <v>7</v>
      </c>
      <c r="J36" s="1" t="s">
        <v>10</v>
      </c>
    </row>
    <row r="37" spans="1:14">
      <c r="A37" s="1">
        <v>1</v>
      </c>
      <c r="B37" s="3">
        <v>2</v>
      </c>
      <c r="C37" s="3"/>
      <c r="D37" s="3">
        <v>1</v>
      </c>
      <c r="E37" s="3">
        <v>180</v>
      </c>
      <c r="F37" s="3">
        <v>181.34100000000001</v>
      </c>
      <c r="G37" s="3">
        <v>181.24499900000001</v>
      </c>
      <c r="H37" s="3">
        <f>181.121187/D37</f>
        <v>181.12118699999999</v>
      </c>
      <c r="I37" s="2">
        <f>H37/F37</f>
        <v>0.99878784720498937</v>
      </c>
      <c r="J37" s="3">
        <f>ABS(H37-G37)*1000/E37</f>
        <v>0.68784444444452852</v>
      </c>
      <c r="K37" s="3"/>
      <c r="L37" s="3"/>
      <c r="N37" s="3"/>
    </row>
    <row r="38" spans="1:14">
      <c r="A38" s="1">
        <v>2</v>
      </c>
      <c r="B38" s="3">
        <v>4</v>
      </c>
      <c r="C38" s="3"/>
      <c r="D38" s="3">
        <v>3</v>
      </c>
      <c r="E38" s="3">
        <v>180</v>
      </c>
      <c r="F38" s="3">
        <v>61.393000000000001</v>
      </c>
      <c r="G38" s="3">
        <v>181.25299999999999</v>
      </c>
      <c r="H38" s="3">
        <f t="shared" ref="H38:H44" si="11">181.121187/D38</f>
        <v>60.373728999999997</v>
      </c>
      <c r="I38" s="2">
        <f t="shared" ref="I38:I44" si="12">H38/F38</f>
        <v>0.98339760233251339</v>
      </c>
      <c r="J38" s="3">
        <f t="shared" ref="J38:J44" si="13">ABS(H38-G38)*1000/E38</f>
        <v>671.55150555555554</v>
      </c>
      <c r="K38" s="3"/>
      <c r="L38" s="3"/>
      <c r="N38" s="3"/>
    </row>
    <row r="39" spans="1:14">
      <c r="A39" s="1">
        <v>4</v>
      </c>
      <c r="B39" s="3">
        <v>8</v>
      </c>
      <c r="C39" s="3"/>
      <c r="D39" s="3">
        <v>7</v>
      </c>
      <c r="E39" s="3">
        <v>180</v>
      </c>
      <c r="F39" s="3">
        <v>27.763999999999999</v>
      </c>
      <c r="G39" s="3">
        <v>236.14</v>
      </c>
      <c r="H39" s="3">
        <f t="shared" si="11"/>
        <v>25.874455285714284</v>
      </c>
      <c r="I39" s="2">
        <f t="shared" si="12"/>
        <v>0.93194263383209497</v>
      </c>
      <c r="J39" s="3">
        <f t="shared" si="13"/>
        <v>1168.1419150793649</v>
      </c>
      <c r="K39" s="3"/>
      <c r="L39" s="3"/>
      <c r="N39" s="3"/>
    </row>
    <row r="40" spans="1:14">
      <c r="A40" s="1">
        <v>8</v>
      </c>
      <c r="B40" s="3">
        <v>16</v>
      </c>
      <c r="C40" s="3"/>
      <c r="D40" s="3">
        <v>15</v>
      </c>
      <c r="E40" s="3">
        <v>180</v>
      </c>
      <c r="F40" s="3">
        <v>15.699</v>
      </c>
      <c r="G40" s="3">
        <v>300.63399900000002</v>
      </c>
      <c r="H40" s="3">
        <f t="shared" si="11"/>
        <v>12.074745799999999</v>
      </c>
      <c r="I40" s="2">
        <f t="shared" si="12"/>
        <v>0.76914107904962092</v>
      </c>
      <c r="J40" s="3">
        <f t="shared" si="13"/>
        <v>1603.1069622222221</v>
      </c>
      <c r="K40" s="3"/>
      <c r="L40" s="3"/>
      <c r="N40" s="3"/>
    </row>
    <row r="41" spans="1:14">
      <c r="A41" s="1">
        <v>16</v>
      </c>
      <c r="B41" s="3">
        <v>32</v>
      </c>
      <c r="C41" s="3"/>
      <c r="D41" s="3">
        <v>31</v>
      </c>
      <c r="E41" s="3">
        <v>180</v>
      </c>
      <c r="F41" s="3">
        <v>14.752000000000001</v>
      </c>
      <c r="G41" s="3">
        <v>365.24499900000001</v>
      </c>
      <c r="H41" s="3">
        <f t="shared" si="11"/>
        <v>5.8426189354838707</v>
      </c>
      <c r="I41" s="2">
        <f t="shared" si="12"/>
        <v>0.39605605582184589</v>
      </c>
      <c r="J41" s="3">
        <f t="shared" si="13"/>
        <v>1996.6798892473121</v>
      </c>
      <c r="K41" s="3"/>
      <c r="L41" s="3"/>
      <c r="N41" s="3"/>
    </row>
    <row r="42" spans="1:14">
      <c r="A42" s="1">
        <v>32</v>
      </c>
      <c r="B42" s="3">
        <v>64</v>
      </c>
      <c r="C42" s="3"/>
      <c r="D42" s="3">
        <v>63</v>
      </c>
      <c r="E42" s="3">
        <v>180</v>
      </c>
      <c r="F42" s="3">
        <v>21.155999999999999</v>
      </c>
      <c r="G42" s="3">
        <v>200.137001</v>
      </c>
      <c r="H42" s="3">
        <f t="shared" si="11"/>
        <v>2.8749394761904759</v>
      </c>
      <c r="I42" s="2">
        <f t="shared" si="12"/>
        <v>0.13589239346712403</v>
      </c>
      <c r="J42" s="3">
        <f t="shared" si="13"/>
        <v>1095.9003417989418</v>
      </c>
      <c r="K42" s="3"/>
      <c r="L42" s="3"/>
      <c r="N42" s="3"/>
    </row>
    <row r="43" spans="1:14">
      <c r="A43" s="1">
        <v>64</v>
      </c>
      <c r="B43" s="3">
        <v>128</v>
      </c>
      <c r="C43" s="3"/>
      <c r="D43" s="3">
        <v>127</v>
      </c>
      <c r="E43" s="3">
        <v>180</v>
      </c>
      <c r="F43" s="3">
        <v>75.218999999999994</v>
      </c>
      <c r="G43" s="3">
        <v>271.22300100000001</v>
      </c>
      <c r="H43" s="3">
        <f t="shared" si="11"/>
        <v>1.4261510787401575</v>
      </c>
      <c r="I43" s="2">
        <f t="shared" si="12"/>
        <v>1.8959984561615517E-2</v>
      </c>
      <c r="J43" s="3">
        <f t="shared" si="13"/>
        <v>1498.8713884514436</v>
      </c>
      <c r="K43" s="3"/>
      <c r="L43" s="3"/>
      <c r="N43" s="3"/>
    </row>
    <row r="44" spans="1:14">
      <c r="A44" s="1">
        <v>128</v>
      </c>
      <c r="B44" s="3">
        <v>256</v>
      </c>
      <c r="C44" s="3"/>
      <c r="D44" s="3">
        <v>255</v>
      </c>
      <c r="E44" s="3">
        <v>180</v>
      </c>
      <c r="F44" s="3">
        <v>202.84800000000001</v>
      </c>
      <c r="G44" s="3">
        <v>364.66499900000002</v>
      </c>
      <c r="H44" s="3">
        <f t="shared" si="11"/>
        <v>0.71027916470588237</v>
      </c>
      <c r="I44" s="2">
        <f t="shared" si="12"/>
        <v>3.5015339796590664E-3</v>
      </c>
      <c r="J44" s="3">
        <f t="shared" si="13"/>
        <v>2021.9706657516342</v>
      </c>
      <c r="K44" s="3"/>
      <c r="L44" s="3"/>
      <c r="N44" s="3"/>
    </row>
  </sheetData>
  <autoFilter ref="A2:N33"/>
  <sortState ref="A2:M28">
    <sortCondition ref="F2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4.45"/>
  <cols>
    <col min="2" max="2" width="20.7109375" bestFit="1" customWidth="1"/>
    <col min="3" max="3" width="16.5703125" bestFit="1" customWidth="1"/>
  </cols>
  <sheetData>
    <row r="1" spans="1:3">
      <c r="A1" s="3" t="s">
        <v>31</v>
      </c>
      <c r="B1" s="3" t="s">
        <v>32</v>
      </c>
      <c r="C1" s="3" t="s">
        <v>33</v>
      </c>
    </row>
    <row r="2" spans="1:3">
      <c r="A2" s="3" t="s">
        <v>34</v>
      </c>
      <c r="B2" s="3">
        <v>1</v>
      </c>
      <c r="C2" s="3">
        <v>3</v>
      </c>
    </row>
    <row r="3" spans="1:3">
      <c r="A3" s="3"/>
      <c r="B3" s="3">
        <v>10</v>
      </c>
      <c r="C3" s="3">
        <v>3</v>
      </c>
    </row>
    <row r="4" spans="1:3">
      <c r="A4" s="3"/>
      <c r="B4" s="3">
        <v>100</v>
      </c>
      <c r="C4" s="3">
        <v>30</v>
      </c>
    </row>
    <row r="5" spans="1:3">
      <c r="A5" s="3"/>
      <c r="B5" s="3">
        <v>1000</v>
      </c>
      <c r="C5" s="3">
        <v>100</v>
      </c>
    </row>
    <row r="6" spans="1:3">
      <c r="A6" s="3" t="s">
        <v>35</v>
      </c>
      <c r="B6" s="3">
        <v>1</v>
      </c>
      <c r="C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0"/>
  <sheetViews>
    <sheetView workbookViewId="0">
      <selection sqref="A1:A1048576"/>
    </sheetView>
  </sheetViews>
  <sheetFormatPr defaultRowHeight="14.45"/>
  <cols>
    <col min="1" max="1" width="9" bestFit="1" customWidth="1"/>
  </cols>
  <sheetData>
    <row r="1" spans="1:1">
      <c r="A1" s="3">
        <v>841.96699999999998</v>
      </c>
    </row>
    <row r="2" spans="1:1">
      <c r="A2" s="3">
        <v>848.62699999999995</v>
      </c>
    </row>
    <row r="3" spans="1:1">
      <c r="A3" s="3">
        <v>844.61400000000003</v>
      </c>
    </row>
    <row r="4" spans="1:1">
      <c r="A4" s="3">
        <v>869.30700000000002</v>
      </c>
    </row>
    <row r="5" spans="1:1">
      <c r="A5" s="3">
        <v>904.84299999999996</v>
      </c>
    </row>
    <row r="6" spans="1:1">
      <c r="A6" s="3">
        <v>916.64300000000003</v>
      </c>
    </row>
    <row r="7" spans="1:1">
      <c r="A7" s="3">
        <v>919.71699999999998</v>
      </c>
    </row>
    <row r="8" spans="1:1">
      <c r="A8" s="3">
        <v>910.274</v>
      </c>
    </row>
    <row r="9" spans="1:1">
      <c r="A9" s="3">
        <v>924.875</v>
      </c>
    </row>
    <row r="10" spans="1:1">
      <c r="A10" s="3">
        <v>930.37599999999998</v>
      </c>
    </row>
    <row r="11" spans="1:1">
      <c r="A11" s="3">
        <v>933.22299999999996</v>
      </c>
    </row>
    <row r="12" spans="1:1">
      <c r="A12" s="3">
        <v>934.81299999999999</v>
      </c>
    </row>
    <row r="13" spans="1:1">
      <c r="A13" s="3">
        <v>939.98800000000006</v>
      </c>
    </row>
    <row r="14" spans="1:1">
      <c r="A14" s="3">
        <v>934.54899999999998</v>
      </c>
    </row>
    <row r="15" spans="1:1">
      <c r="A15" s="3">
        <v>938.89499999999998</v>
      </c>
    </row>
    <row r="16" spans="1:1">
      <c r="A16" s="3">
        <v>937.52499999999998</v>
      </c>
    </row>
    <row r="17" spans="1:1">
      <c r="A17" s="3">
        <v>945.548</v>
      </c>
    </row>
    <row r="18" spans="1:1">
      <c r="A18" s="3">
        <v>947.74599999999998</v>
      </c>
    </row>
    <row r="19" spans="1:1">
      <c r="A19" s="3">
        <v>947.35900000000004</v>
      </c>
    </row>
    <row r="20" spans="1:1">
      <c r="A20" s="3">
        <v>958.99</v>
      </c>
    </row>
    <row r="21" spans="1:1">
      <c r="A21" s="3">
        <v>954.14499999999998</v>
      </c>
    </row>
    <row r="22" spans="1:1">
      <c r="A22" s="3">
        <v>959.92200000000003</v>
      </c>
    </row>
    <row r="23" spans="1:1">
      <c r="A23" s="3">
        <v>951.80899999999997</v>
      </c>
    </row>
    <row r="24" spans="1:1">
      <c r="A24" s="3">
        <v>949.91</v>
      </c>
    </row>
    <row r="25" spans="1:1">
      <c r="A25" s="3">
        <v>954.19500000000005</v>
      </c>
    </row>
    <row r="26" spans="1:1">
      <c r="A26" s="3">
        <v>958.04499999999996</v>
      </c>
    </row>
    <row r="27" spans="1:1">
      <c r="A27" s="3">
        <v>955.45500000000004</v>
      </c>
    </row>
    <row r="28" spans="1:1">
      <c r="A28" s="3">
        <v>965.58600000000001</v>
      </c>
    </row>
    <row r="29" spans="1:1">
      <c r="A29" s="3">
        <v>951.89200000000005</v>
      </c>
    </row>
    <row r="30" spans="1:1">
      <c r="A30" s="3">
        <v>964.52700000000004</v>
      </c>
    </row>
    <row r="31" spans="1:1">
      <c r="A31" s="3">
        <v>960.76400000000001</v>
      </c>
    </row>
    <row r="32" spans="1:1">
      <c r="A32" s="3">
        <v>960.61199999999997</v>
      </c>
    </row>
    <row r="33" spans="1:1">
      <c r="A33" s="3">
        <v>962.28099999999995</v>
      </c>
    </row>
    <row r="34" spans="1:1">
      <c r="A34" s="3">
        <v>956.98900000000003</v>
      </c>
    </row>
    <row r="35" spans="1:1">
      <c r="A35" s="3">
        <v>951.202</v>
      </c>
    </row>
    <row r="36" spans="1:1">
      <c r="A36" s="3">
        <v>963.71900000000005</v>
      </c>
    </row>
    <row r="37" spans="1:1">
      <c r="A37" s="3">
        <v>962.197</v>
      </c>
    </row>
    <row r="38" spans="1:1">
      <c r="A38" s="3">
        <v>966.45500000000004</v>
      </c>
    </row>
    <row r="39" spans="1:1">
      <c r="A39" s="3">
        <v>955.60799999999995</v>
      </c>
    </row>
    <row r="40" spans="1:1">
      <c r="A40" s="3">
        <v>955.95799999999997</v>
      </c>
    </row>
    <row r="41" spans="1:1">
      <c r="A41" s="3">
        <v>955.846</v>
      </c>
    </row>
    <row r="42" spans="1:1">
      <c r="A42" s="3">
        <v>957.49599999999998</v>
      </c>
    </row>
    <row r="43" spans="1:1">
      <c r="A43" s="3">
        <v>956.54600000000005</v>
      </c>
    </row>
    <row r="44" spans="1:1">
      <c r="A44" s="3">
        <v>968.41</v>
      </c>
    </row>
    <row r="45" spans="1:1">
      <c r="A45" s="3">
        <v>964.31899999999996</v>
      </c>
    </row>
    <row r="46" spans="1:1">
      <c r="A46" s="3">
        <v>969.077</v>
      </c>
    </row>
    <row r="47" spans="1:1">
      <c r="A47" s="3">
        <v>973.81799999999998</v>
      </c>
    </row>
    <row r="48" spans="1:1">
      <c r="A48" s="3">
        <v>975.93799999999999</v>
      </c>
    </row>
    <row r="49" spans="1:1">
      <c r="A49" s="3">
        <v>962.63699999999994</v>
      </c>
    </row>
    <row r="50" spans="1:1">
      <c r="A50" s="3">
        <v>973.22799999999995</v>
      </c>
    </row>
    <row r="51" spans="1:1">
      <c r="A51" s="3">
        <v>974.26099999999997</v>
      </c>
    </row>
    <row r="52" spans="1:1">
      <c r="A52" s="3">
        <v>971.93499999999995</v>
      </c>
    </row>
    <row r="53" spans="1:1">
      <c r="A53" s="3">
        <v>977.29</v>
      </c>
    </row>
    <row r="54" spans="1:1">
      <c r="A54" s="3">
        <v>966.98500000000001</v>
      </c>
    </row>
    <row r="55" spans="1:1">
      <c r="A55" s="3">
        <v>969.55700000000002</v>
      </c>
    </row>
    <row r="56" spans="1:1">
      <c r="A56" s="3">
        <v>977.00900000000001</v>
      </c>
    </row>
    <row r="57" spans="1:1">
      <c r="A57" s="3">
        <v>970.23800000000006</v>
      </c>
    </row>
    <row r="58" spans="1:1">
      <c r="A58" s="3">
        <v>965.95299999999997</v>
      </c>
    </row>
    <row r="59" spans="1:1">
      <c r="A59" s="3">
        <v>966.39400000000001</v>
      </c>
    </row>
    <row r="60" spans="1:1">
      <c r="A60" s="3">
        <v>977.95699999999999</v>
      </c>
    </row>
    <row r="61" spans="1:1">
      <c r="A61" s="3">
        <v>973.05</v>
      </c>
    </row>
    <row r="62" spans="1:1">
      <c r="A62" s="3">
        <v>980.15899999999999</v>
      </c>
    </row>
    <row r="63" spans="1:1">
      <c r="A63" s="3">
        <v>980.89499999999998</v>
      </c>
    </row>
    <row r="64" spans="1:1">
      <c r="A64" s="3">
        <v>968.52700000000004</v>
      </c>
    </row>
    <row r="65" spans="1:1">
      <c r="A65" s="3">
        <v>980.28499999999997</v>
      </c>
    </row>
    <row r="66" spans="1:1">
      <c r="A66" s="3">
        <v>976.76599999999996</v>
      </c>
    </row>
    <row r="67" spans="1:1">
      <c r="A67" s="3">
        <v>980.33399999999995</v>
      </c>
    </row>
    <row r="68" spans="1:1">
      <c r="A68" s="3">
        <v>979.64800000000002</v>
      </c>
    </row>
    <row r="69" spans="1:1">
      <c r="A69" s="3">
        <v>989.25400000000002</v>
      </c>
    </row>
    <row r="70" spans="1:1">
      <c r="A70" s="3">
        <v>983.93700000000001</v>
      </c>
    </row>
    <row r="71" spans="1:1">
      <c r="A71" s="3">
        <v>985.04300000000001</v>
      </c>
    </row>
    <row r="72" spans="1:1">
      <c r="A72" s="3">
        <v>984.29</v>
      </c>
    </row>
    <row r="73" spans="1:1">
      <c r="A73" s="3">
        <v>988.45500000000004</v>
      </c>
    </row>
    <row r="74" spans="1:1">
      <c r="A74" s="3">
        <v>984.90200000000004</v>
      </c>
    </row>
    <row r="75" spans="1:1">
      <c r="A75" s="3">
        <v>983.06700000000001</v>
      </c>
    </row>
    <row r="76" spans="1:1">
      <c r="A76" s="3">
        <v>990.82100000000003</v>
      </c>
    </row>
    <row r="77" spans="1:1">
      <c r="A77" s="3">
        <v>995.05799999999999</v>
      </c>
    </row>
    <row r="78" spans="1:1">
      <c r="A78" s="3">
        <v>995.75599999999997</v>
      </c>
    </row>
    <row r="79" spans="1:1">
      <c r="A79" s="3">
        <v>994.63</v>
      </c>
    </row>
    <row r="80" spans="1:1">
      <c r="A80" s="3">
        <v>993.45799999999997</v>
      </c>
    </row>
    <row r="81" spans="1:1">
      <c r="A81" s="3">
        <v>994.69399999999996</v>
      </c>
    </row>
    <row r="82" spans="1:1">
      <c r="A82" s="3">
        <v>994.88800000000003</v>
      </c>
    </row>
    <row r="83" spans="1:1">
      <c r="A83" s="3">
        <v>1006.9829999999999</v>
      </c>
    </row>
    <row r="84" spans="1:1">
      <c r="A84" s="3">
        <v>1004.356</v>
      </c>
    </row>
    <row r="85" spans="1:1">
      <c r="A85" s="3">
        <v>1002.922</v>
      </c>
    </row>
    <row r="86" spans="1:1">
      <c r="A86" s="3">
        <v>993.51300000000003</v>
      </c>
    </row>
    <row r="87" spans="1:1">
      <c r="A87" s="3">
        <v>999.94200000000001</v>
      </c>
    </row>
    <row r="88" spans="1:1">
      <c r="A88" s="3">
        <v>1000.2670000000001</v>
      </c>
    </row>
    <row r="89" spans="1:1">
      <c r="A89" s="3">
        <v>1003.252</v>
      </c>
    </row>
    <row r="90" spans="1:1">
      <c r="A90" s="3">
        <v>1007.241</v>
      </c>
    </row>
    <row r="91" spans="1:1">
      <c r="A91" s="3">
        <v>1012.3390000000001</v>
      </c>
    </row>
    <row r="92" spans="1:1">
      <c r="A92" s="3">
        <v>1010.377</v>
      </c>
    </row>
    <row r="93" spans="1:1">
      <c r="A93" s="3">
        <v>1012.083</v>
      </c>
    </row>
    <row r="94" spans="1:1">
      <c r="A94" s="3">
        <v>1006.958</v>
      </c>
    </row>
    <row r="95" spans="1:1">
      <c r="A95" s="3">
        <v>1010.644</v>
      </c>
    </row>
    <row r="96" spans="1:1">
      <c r="A96" s="3">
        <v>1004.569</v>
      </c>
    </row>
    <row r="97" spans="1:1">
      <c r="A97" s="3">
        <v>1002.904</v>
      </c>
    </row>
    <row r="98" spans="1:1">
      <c r="A98" s="3">
        <v>1010.65</v>
      </c>
    </row>
    <row r="99" spans="1:1">
      <c r="A99" s="3">
        <v>1010.1369999999999</v>
      </c>
    </row>
    <row r="100" spans="1:1">
      <c r="A100" s="3">
        <v>1015.784</v>
      </c>
    </row>
    <row r="101" spans="1:1">
      <c r="A101" s="3">
        <v>1010.1660000000001</v>
      </c>
    </row>
    <row r="102" spans="1:1">
      <c r="A102" s="3">
        <v>1023.067</v>
      </c>
    </row>
    <row r="103" spans="1:1">
      <c r="A103" s="3">
        <v>1021.716</v>
      </c>
    </row>
    <row r="104" spans="1:1">
      <c r="A104" s="3">
        <v>1027.491</v>
      </c>
    </row>
    <row r="105" spans="1:1">
      <c r="A105" s="3">
        <v>1022.404</v>
      </c>
    </row>
    <row r="106" spans="1:1">
      <c r="A106" s="3">
        <v>1024.578</v>
      </c>
    </row>
    <row r="107" spans="1:1">
      <c r="A107" s="3">
        <v>1024.126</v>
      </c>
    </row>
    <row r="108" spans="1:1">
      <c r="A108" s="3">
        <v>1023.404</v>
      </c>
    </row>
    <row r="109" spans="1:1">
      <c r="A109" s="3">
        <v>1033.9939999999999</v>
      </c>
    </row>
    <row r="110" spans="1:1">
      <c r="A110" s="3">
        <v>1026.7560000000001</v>
      </c>
    </row>
    <row r="111" spans="1:1">
      <c r="A111" s="3">
        <v>1023.41</v>
      </c>
    </row>
    <row r="112" spans="1:1">
      <c r="A112" s="3">
        <v>1034.942</v>
      </c>
    </row>
    <row r="113" spans="1:1">
      <c r="A113" s="3">
        <v>1033.3610000000001</v>
      </c>
    </row>
    <row r="114" spans="1:1">
      <c r="A114" s="3">
        <v>1035.6099999999999</v>
      </c>
    </row>
    <row r="115" spans="1:1">
      <c r="A115" s="3">
        <v>1035.4369999999999</v>
      </c>
    </row>
    <row r="116" spans="1:1">
      <c r="A116" s="3">
        <v>1022.8150000000001</v>
      </c>
    </row>
    <row r="117" spans="1:1">
      <c r="A117" s="3">
        <v>1035.1500000000001</v>
      </c>
    </row>
    <row r="118" spans="1:1">
      <c r="A118" s="3">
        <v>1030.1410000000001</v>
      </c>
    </row>
    <row r="119" spans="1:1">
      <c r="A119" s="3">
        <v>1036.453</v>
      </c>
    </row>
    <row r="120" spans="1:1">
      <c r="A120" s="3">
        <v>1030.538</v>
      </c>
    </row>
    <row r="121" spans="1:1">
      <c r="A121" s="3">
        <v>1027.7070000000001</v>
      </c>
    </row>
    <row r="122" spans="1:1">
      <c r="A122" s="3">
        <v>1030.0519999999999</v>
      </c>
    </row>
    <row r="123" spans="1:1">
      <c r="A123" s="3">
        <v>1030.002</v>
      </c>
    </row>
    <row r="124" spans="1:1">
      <c r="A124" s="3">
        <v>1035.7919999999999</v>
      </c>
    </row>
    <row r="125" spans="1:1">
      <c r="A125" s="3">
        <v>1039.5920000000001</v>
      </c>
    </row>
    <row r="126" spans="1:1">
      <c r="A126" s="3">
        <v>1043.528</v>
      </c>
    </row>
    <row r="127" spans="1:1">
      <c r="A127" s="3">
        <v>1046.6210000000001</v>
      </c>
    </row>
    <row r="128" spans="1:1">
      <c r="A128" s="3">
        <v>1047.046</v>
      </c>
    </row>
    <row r="129" spans="1:1">
      <c r="A129" s="3">
        <v>1042.2270000000001</v>
      </c>
    </row>
    <row r="130" spans="1:1">
      <c r="A130" s="3">
        <v>1035.2260000000001</v>
      </c>
    </row>
    <row r="131" spans="1:1">
      <c r="A131" s="3">
        <v>1040.675</v>
      </c>
    </row>
    <row r="132" spans="1:1">
      <c r="A132" s="3">
        <v>1044.971</v>
      </c>
    </row>
    <row r="133" spans="1:1">
      <c r="A133" s="3">
        <v>1039.3889999999999</v>
      </c>
    </row>
    <row r="134" spans="1:1">
      <c r="A134" s="3">
        <v>1046.5219999999999</v>
      </c>
    </row>
    <row r="135" spans="1:1">
      <c r="A135" s="3">
        <v>1047.3499999999999</v>
      </c>
    </row>
    <row r="136" spans="1:1">
      <c r="A136" s="3">
        <v>1053.7719999999999</v>
      </c>
    </row>
    <row r="137" spans="1:1">
      <c r="A137" s="3">
        <v>1058.104</v>
      </c>
    </row>
    <row r="138" spans="1:1">
      <c r="A138" s="3">
        <v>1056.3630000000001</v>
      </c>
    </row>
    <row r="139" spans="1:1">
      <c r="A139" s="3">
        <v>1053.2840000000001</v>
      </c>
    </row>
    <row r="140" spans="1:1">
      <c r="A140" s="3">
        <v>1049.6759999999999</v>
      </c>
    </row>
    <row r="141" spans="1:1">
      <c r="A141" s="3">
        <v>1049.876</v>
      </c>
    </row>
    <row r="142" spans="1:1">
      <c r="A142" s="3">
        <v>1056.25</v>
      </c>
    </row>
    <row r="143" spans="1:1">
      <c r="A143" s="3">
        <v>1059.6579999999999</v>
      </c>
    </row>
    <row r="144" spans="1:1">
      <c r="A144" s="3">
        <v>1061.1790000000001</v>
      </c>
    </row>
    <row r="145" spans="1:1">
      <c r="A145" s="3">
        <v>1057.605</v>
      </c>
    </row>
    <row r="146" spans="1:1">
      <c r="A146" s="3">
        <v>1062.431</v>
      </c>
    </row>
    <row r="147" spans="1:1">
      <c r="A147" s="3">
        <v>1067.739</v>
      </c>
    </row>
    <row r="148" spans="1:1">
      <c r="A148" s="3">
        <v>1057.191</v>
      </c>
    </row>
    <row r="149" spans="1:1">
      <c r="A149" s="3">
        <v>1071.3679999999999</v>
      </c>
    </row>
    <row r="150" spans="1:1">
      <c r="A150" s="3">
        <v>1063.1679999999999</v>
      </c>
    </row>
    <row r="151" spans="1:1">
      <c r="A151" s="3">
        <v>1069.636</v>
      </c>
    </row>
    <row r="152" spans="1:1">
      <c r="A152" s="3">
        <v>1064.2719999999999</v>
      </c>
    </row>
    <row r="153" spans="1:1">
      <c r="A153" s="3">
        <v>1063.567</v>
      </c>
    </row>
    <row r="154" spans="1:1">
      <c r="A154" s="3">
        <v>1070.6179999999999</v>
      </c>
    </row>
    <row r="155" spans="1:1">
      <c r="A155" s="3">
        <v>1072.6500000000001</v>
      </c>
    </row>
    <row r="156" spans="1:1">
      <c r="A156" s="3">
        <v>1073.8589999999999</v>
      </c>
    </row>
    <row r="157" spans="1:1">
      <c r="A157" s="3">
        <v>1061.7190000000001</v>
      </c>
    </row>
    <row r="158" spans="1:1">
      <c r="A158" s="3">
        <v>1080.732</v>
      </c>
    </row>
    <row r="159" spans="1:1">
      <c r="A159" s="3">
        <v>1082.537</v>
      </c>
    </row>
    <row r="160" spans="1:1">
      <c r="A160" s="3">
        <v>1079.32</v>
      </c>
    </row>
    <row r="161" spans="1:1">
      <c r="A161" s="3">
        <v>1085.3889999999999</v>
      </c>
    </row>
    <row r="162" spans="1:1">
      <c r="A162" s="3">
        <v>1071.778</v>
      </c>
    </row>
    <row r="163" spans="1:1">
      <c r="A163" s="3">
        <v>1077.4659999999999</v>
      </c>
    </row>
    <row r="164" spans="1:1">
      <c r="A164" s="3">
        <v>1084.367</v>
      </c>
    </row>
    <row r="165" spans="1:1">
      <c r="A165" s="3">
        <v>1082.981</v>
      </c>
    </row>
    <row r="166" spans="1:1">
      <c r="A166" s="3">
        <v>1070.6959999999999</v>
      </c>
    </row>
    <row r="167" spans="1:1">
      <c r="A167" s="3">
        <v>1086.713</v>
      </c>
    </row>
    <row r="168" spans="1:1">
      <c r="A168" s="3">
        <v>1090.3720000000001</v>
      </c>
    </row>
    <row r="169" spans="1:1">
      <c r="A169" s="3">
        <v>1082.0709999999999</v>
      </c>
    </row>
    <row r="170" spans="1:1">
      <c r="A170" s="3">
        <v>1077.7560000000001</v>
      </c>
    </row>
    <row r="171" spans="1:1">
      <c r="A171" s="3">
        <v>1077.154</v>
      </c>
    </row>
    <row r="172" spans="1:1">
      <c r="A172" s="3">
        <v>1086.2049999999999</v>
      </c>
    </row>
    <row r="173" spans="1:1">
      <c r="A173" s="3">
        <v>1087.3689999999999</v>
      </c>
    </row>
    <row r="174" spans="1:1">
      <c r="A174" s="3">
        <v>1089.222</v>
      </c>
    </row>
    <row r="175" spans="1:1">
      <c r="A175" s="3">
        <v>1097.567</v>
      </c>
    </row>
    <row r="176" spans="1:1">
      <c r="A176" s="3">
        <v>1093.116</v>
      </c>
    </row>
    <row r="177" spans="1:1">
      <c r="A177" s="3">
        <v>1099.7570000000001</v>
      </c>
    </row>
    <row r="178" spans="1:1">
      <c r="A178" s="3">
        <v>1092.1949999999999</v>
      </c>
    </row>
    <row r="179" spans="1:1">
      <c r="A179" s="3">
        <v>1090.7919999999999</v>
      </c>
    </row>
    <row r="180" spans="1:1">
      <c r="A180" s="3">
        <v>1090.5060000000001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bbdebc6-43d6-4f32-8020-17bfeba26156">
      <UserInfo>
        <DisplayName>Thomas Dubucq</DisplayName>
        <AccountId>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2E8E848E1674BB6C82FF9D8854001" ma:contentTypeVersion="3" ma:contentTypeDescription="Create a new document." ma:contentTypeScope="" ma:versionID="02cb289871eaaeb13a27353318f3ef08">
  <xsd:schema xmlns:xsd="http://www.w3.org/2001/XMLSchema" xmlns:xs="http://www.w3.org/2001/XMLSchema" xmlns:p="http://schemas.microsoft.com/office/2006/metadata/properties" xmlns:ns3="3bbdebc6-43d6-4f32-8020-17bfeba26156" targetNamespace="http://schemas.microsoft.com/office/2006/metadata/properties" ma:root="true" ma:fieldsID="7844347af33e22a1ffcebaf729bba3f7" ns3:_="">
    <xsd:import namespace="3bbdebc6-43d6-4f32-8020-17bfeba2615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debc6-43d6-4f32-8020-17bfeba261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905C23-C0F5-45DE-B661-E2BFFB827E1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3bbdebc6-43d6-4f32-8020-17bfeba26156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B60121-A14A-43FA-AEFA-E2AD822147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B52922-B27A-4F47-87BE-3B2B9BE37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bdebc6-43d6-4f32-8020-17bfeba26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 Forlini</dc:creator>
  <cp:keywords/>
  <dc:description/>
  <cp:lastModifiedBy>t Forlini</cp:lastModifiedBy>
  <cp:revision/>
  <dcterms:created xsi:type="dcterms:W3CDTF">2006-09-16T00:00:00Z</dcterms:created>
  <dcterms:modified xsi:type="dcterms:W3CDTF">2015-05-08T23:55:01Z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0x01010020E2E8E848E1674BB6C82FF9D8854001</vt:lpwstr>
  </property>
</Properties>
</file>